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24226"/>
  <mc:AlternateContent xmlns:mc="http://schemas.openxmlformats.org/markup-compatibility/2006">
    <mc:Choice Requires="x15">
      <x15ac:absPath xmlns:x15ac="http://schemas.microsoft.com/office/spreadsheetml/2010/11/ac" url="\\file1.pinaldps.org\Profiles$\ttaylor\Desktop\S Drive\Tonya's Folder\sdforms\"/>
    </mc:Choice>
  </mc:AlternateContent>
  <workbookProtection workbookAlgorithmName="SHA-512" workbookHashValue="J6uZd1vNfUr5+p0/4BqdLYEMm/2f2LmT9SozvA8T/OZuF+SfHZ97vHSExThFiIn2oeS7RZfATSsUY0aN6WifxQ==" workbookSaltValue="GepruQPLFNaKvSSGMqPMbw==" workbookSpinCount="100000" lockStructure="1"/>
  <bookViews>
    <workbookView xWindow="-120" yWindow="-120" windowWidth="29040" windowHeight="15720"/>
  </bookViews>
  <sheets>
    <sheet name="Notice" sheetId="2" r:id="rId1"/>
  </sheets>
  <externalReferences>
    <externalReference r:id="rId2"/>
    <externalReference r:id="rId3"/>
  </externalReferences>
  <definedNames>
    <definedName name="BudgetYearADM">Notice!$H$13</definedName>
    <definedName name="CSFBLBudgFY">#REF!</definedName>
    <definedName name="EstTaxRateBudgFY">#REF!</definedName>
    <definedName name="F001P100F1000O6100">#REF!</definedName>
    <definedName name="F001P100F1000O6200">#REF!</definedName>
    <definedName name="F001P100F1000O630064006500">#REF!</definedName>
    <definedName name="F001P100F1000O6600">#REF!</definedName>
    <definedName name="F001P100F1000O6800">#REF!</definedName>
    <definedName name="F001P100F2100O6100">#REF!</definedName>
    <definedName name="F001P100F2100O6200">#REF!</definedName>
    <definedName name="F001P100F2100O630064006500">#REF!</definedName>
    <definedName name="F001P100F2100O6600">#REF!</definedName>
    <definedName name="F001P100F2100O6800">#REF!</definedName>
    <definedName name="F001P100F2200O6100">#REF!</definedName>
    <definedName name="F001P100F2200O6200">#REF!</definedName>
    <definedName name="F001P100F2200O630064006500">#REF!</definedName>
    <definedName name="F001P100F2200O6600">#REF!</definedName>
    <definedName name="F001P100F2200O6800">#REF!</definedName>
    <definedName name="F001P100F2300O6100">#REF!</definedName>
    <definedName name="F001P100F2300O6200">#REF!</definedName>
    <definedName name="F001P100F2300O630064006500">#REF!</definedName>
    <definedName name="F001P100F2300O6600">#REF!</definedName>
    <definedName name="F001P100F2300O6800">#REF!</definedName>
    <definedName name="F001P100F2400O6100">#REF!</definedName>
    <definedName name="F001P100F2400O6200">#REF!</definedName>
    <definedName name="F001P100F2400O630064006500">#REF!</definedName>
    <definedName name="F001P100F2400O6600">#REF!</definedName>
    <definedName name="F001P100F2400O6800">#REF!</definedName>
    <definedName name="F001P100F2500O6100">#REF!</definedName>
    <definedName name="F001P100F2500O6200">#REF!</definedName>
    <definedName name="F001P100F2500O630064006500">#REF!</definedName>
    <definedName name="F001P100F2500O6600">#REF!</definedName>
    <definedName name="F001P100F2500O6800">#REF!</definedName>
    <definedName name="F001P100F2600O6100">#REF!</definedName>
    <definedName name="F001P100F2600O6200">#REF!</definedName>
    <definedName name="F001P100F2600O630064006500">#REF!</definedName>
    <definedName name="F001P100F2600O6600">#REF!</definedName>
    <definedName name="F001P100F2600O6800">#REF!</definedName>
    <definedName name="F001P100F2900O6100">#REF!</definedName>
    <definedName name="F001P100F2900O6200">#REF!</definedName>
    <definedName name="F001P100F2900O630064006500">#REF!</definedName>
    <definedName name="F001P100F2900O6600">#REF!</definedName>
    <definedName name="F001P100F2900O6800">#REF!</definedName>
    <definedName name="F001P100F3000O6100">#REF!</definedName>
    <definedName name="F001P100F3000O6200">#REF!</definedName>
    <definedName name="F001P100F3000O630064006500">#REF!</definedName>
    <definedName name="F001P100F3000O6600">#REF!</definedName>
    <definedName name="F001P100F3000O6800">#REF!</definedName>
    <definedName name="F001P200F1000O6100">#REF!</definedName>
    <definedName name="F001P200F1000O6200">#REF!</definedName>
    <definedName name="F001P200F1000O630064006500">#REF!</definedName>
    <definedName name="F001P200F1000O6600">#REF!</definedName>
    <definedName name="F001P200F1000O6800">#REF!</definedName>
    <definedName name="F001P200F2100O6100">#REF!</definedName>
    <definedName name="F001P200F2100O6200">#REF!</definedName>
    <definedName name="F001P200F2100O630064006500">#REF!</definedName>
    <definedName name="F001P200F2100O6600">#REF!</definedName>
    <definedName name="F001P200F2100O6800">#REF!</definedName>
    <definedName name="F001P200F2200O6100">#REF!</definedName>
    <definedName name="F001P200F2200O6200">#REF!</definedName>
    <definedName name="F001P200F2200O630064006500">#REF!</definedName>
    <definedName name="F001P200F2200O6600">#REF!</definedName>
    <definedName name="F001P200F2200O6800">#REF!</definedName>
    <definedName name="F001P200F2300O6100">#REF!</definedName>
    <definedName name="F001P200F2300O6200">#REF!</definedName>
    <definedName name="F001P200F2300O630064006500">#REF!</definedName>
    <definedName name="F001P200F2300O6600">#REF!</definedName>
    <definedName name="F001P200F2300O6800">#REF!</definedName>
    <definedName name="F001P200F2400O6100">#REF!</definedName>
    <definedName name="F001P200F2400O6200">#REF!</definedName>
    <definedName name="F001P200F2400O630064006500">#REF!</definedName>
    <definedName name="F001P200F2400O6600">#REF!</definedName>
    <definedName name="F001P200F2400O6800">#REF!</definedName>
    <definedName name="F001P200F2500O6100">#REF!</definedName>
    <definedName name="F001P200F2500O6200">#REF!</definedName>
    <definedName name="F001P200F2500O630064006500">#REF!</definedName>
    <definedName name="F001P200F2500O6600">#REF!</definedName>
    <definedName name="F001P200F2500O6800">#REF!</definedName>
    <definedName name="F001P200F2600O6100">#REF!</definedName>
    <definedName name="F001P200F2600O6200">#REF!</definedName>
    <definedName name="F001P200F2600O630064006500">#REF!</definedName>
    <definedName name="F001P200F2600O6600">#REF!</definedName>
    <definedName name="F001P200F2600O6800">#REF!</definedName>
    <definedName name="F001P200F2900O6100">#REF!</definedName>
    <definedName name="F001P200F2900O6200">#REF!</definedName>
    <definedName name="F001P200F2900O630064006500">#REF!</definedName>
    <definedName name="F001P200F2900O6600">#REF!</definedName>
    <definedName name="F001P200F2900O6800">#REF!</definedName>
    <definedName name="F001P200F3000O6100">#REF!</definedName>
    <definedName name="F001P200F3000O6200">#REF!</definedName>
    <definedName name="F001P200F3000O630064006500">#REF!</definedName>
    <definedName name="F001P200F3000O6600">#REF!</definedName>
    <definedName name="F001P200F3000O6800">#REF!</definedName>
    <definedName name="F001P200PYDisabilityTot">#REF!</definedName>
    <definedName name="F001P200Subtotal">#REF!</definedName>
    <definedName name="F001P200TotBudgFY">#REF!</definedName>
    <definedName name="F001P400O6100">#REF!</definedName>
    <definedName name="F001P400O6200">#REF!</definedName>
    <definedName name="F001P400O630064006500">#REF!</definedName>
    <definedName name="F001P400O6600">#REF!</definedName>
    <definedName name="F001P400O6800">#REF!</definedName>
    <definedName name="F001P510O6100">#REF!</definedName>
    <definedName name="F001P510O6200">#REF!</definedName>
    <definedName name="F001P510O630064006500">#REF!</definedName>
    <definedName name="F001P510O6600">#REF!</definedName>
    <definedName name="F001P510O6800">#REF!</definedName>
    <definedName name="F001P530O6100">#REF!</definedName>
    <definedName name="F001P530O6200">#REF!</definedName>
    <definedName name="F001P530O630064006500">#REF!</definedName>
    <definedName name="F001P530O6600">#REF!</definedName>
    <definedName name="F001P530O6800">#REF!</definedName>
    <definedName name="F001P540O6100">#REF!</definedName>
    <definedName name="F001P540O6200">#REF!</definedName>
    <definedName name="F001P540O630064006500">#REF!</definedName>
    <definedName name="F001P540O6600">#REF!</definedName>
    <definedName name="F001P540O6800">#REF!</definedName>
    <definedName name="F001P550O6100">#REF!</definedName>
    <definedName name="F001P550O6200">#REF!</definedName>
    <definedName name="F001P550O630064006500">#REF!</definedName>
    <definedName name="F001P550O6600">#REF!</definedName>
    <definedName name="F001P550O6800">#REF!</definedName>
    <definedName name="F001P610O6100">#REF!</definedName>
    <definedName name="F001P610O6200">#REF!</definedName>
    <definedName name="F001P610O630064006500">#REF!</definedName>
    <definedName name="F001P610O6600">#REF!</definedName>
    <definedName name="F001P610O6800">#REF!</definedName>
    <definedName name="F001P620O6100">#REF!</definedName>
    <definedName name="F001P620O6200">#REF!</definedName>
    <definedName name="F001P620O630064006500">#REF!</definedName>
    <definedName name="F001P620O6600">#REF!</definedName>
    <definedName name="F001P620O6800">#REF!</definedName>
    <definedName name="F001P630O6100">#REF!</definedName>
    <definedName name="F001P630O6200">#REF!</definedName>
    <definedName name="F001P630O630064006500">#REF!</definedName>
    <definedName name="F001P630O6600">#REF!</definedName>
    <definedName name="F001P630O6800">#REF!</definedName>
    <definedName name="F001P700800900O6100">#REF!</definedName>
    <definedName name="F001P700800900O6200">#REF!</definedName>
    <definedName name="F001P700800900O630064006500">#REF!</definedName>
    <definedName name="F001P700800900O6600">#REF!</definedName>
    <definedName name="F001P700800900O6800">#REF!</definedName>
    <definedName name="F001TotalExp">#REF!</definedName>
    <definedName name="F001TotExpCurrFY">#REF!</definedName>
    <definedName name="F010O6590BudgFY">#REF!</definedName>
    <definedName name="F020TotBudgFY">#REF!</definedName>
    <definedName name="F020TotCurrFY">#REF!</definedName>
    <definedName name="F071BudgFY">#REF!</definedName>
    <definedName name="F071CurrFY">#REF!</definedName>
    <definedName name="F072BudgFY">#REF!</definedName>
    <definedName name="F072CurrFY">#REF!</definedName>
    <definedName name="F500BudgFY">#REF!</definedName>
    <definedName name="F500CurrFY">#REF!</definedName>
    <definedName name="F510BudgFY">#REF!</definedName>
    <definedName name="F510CurrFY">#REF!</definedName>
    <definedName name="F525BudgFY">#REF!</definedName>
    <definedName name="F525CurrFY">#REF!</definedName>
    <definedName name="F610TotalBudgFY">#REF!</definedName>
    <definedName name="F610TotalCurrFY">#REF!</definedName>
    <definedName name="F620TotalBudgFY">#REF!</definedName>
    <definedName name="F620TotalCurrFY">#REF!</definedName>
    <definedName name="F630TotalBudgFY">#REF!</definedName>
    <definedName name="F630TotalCurrFY">#REF!</definedName>
    <definedName name="F695TotalBudgFY">#REF!</definedName>
    <definedName name="F695TotalCurrFY">#REF!</definedName>
    <definedName name="F700BudgFY">#REF!</definedName>
    <definedName name="F700CurrFY">#REF!</definedName>
    <definedName name="GBLBudgFY">#REF!</definedName>
    <definedName name="JTEDBudgFY">#REF!</definedName>
    <definedName name="PrimTaxRateCurrFY">#REF!</definedName>
    <definedName name="_xlnm.Print_Area" localSheetId="0">Notice!$A$1:$L$134</definedName>
    <definedName name="PriorYearADM">Notice!$C$13</definedName>
    <definedName name="SPEDCareerEdBudgFY">#REF!</definedName>
    <definedName name="SPEDCareerEdCurrFY">#REF!</definedName>
    <definedName name="SPEDELLCompInstrBudgFY">#REF!</definedName>
    <definedName name="SPEDELLCompInstrCurrFY">#REF!</definedName>
    <definedName name="SPEDELLIncCostBudgFY">#REF!</definedName>
    <definedName name="SPEDELLIncCostCurrFY">#REF!</definedName>
    <definedName name="SPEDGiftedEdBudgFY">#REF!</definedName>
    <definedName name="SPEDGiftedEdCurrFY">#REF!</definedName>
    <definedName name="SPEDRemedialEdBudgFY">#REF!</definedName>
    <definedName name="SPEDRemedialEdCurrFY">#REF!</definedName>
    <definedName name="SPEDStaff">Notice!$N$46</definedName>
    <definedName name="SPEDTeacher">Notice!$N$45</definedName>
    <definedName name="SPEDVocTechEdBudgFY">#REF!</definedName>
    <definedName name="SPEDVocTechEdCurrFY">#REF!</definedName>
    <definedName name="TotClassSiteFundExpBudgFY">#REF!</definedName>
    <definedName name="TotClassSiteFundExpCurrFY">#REF!</definedName>
    <definedName name="TotFedProjFundBudgFY">#REF!</definedName>
    <definedName name="TotFedProjFundCurrFY">#REF!</definedName>
    <definedName name="TotSecTaxRateBudgFY">#REF!</definedName>
    <definedName name="TotSecTaxRateCurrFY">#REF!</definedName>
    <definedName name="TotStateProjFundBudgFY">#REF!</definedName>
    <definedName name="TotStateProjFundCurrFY">#REF!</definedName>
    <definedName name="UCBLBudgFY">#REF!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25" i="2" l="1"/>
  <c r="K22" i="2"/>
  <c r="F23" i="2"/>
  <c r="B23" i="2"/>
  <c r="I134" i="2" l="1"/>
  <c r="F134" i="2"/>
  <c r="E134" i="2"/>
  <c r="D134" i="2"/>
  <c r="I133" i="2"/>
  <c r="F133" i="2"/>
  <c r="E133" i="2"/>
  <c r="D133" i="2"/>
  <c r="I130" i="2"/>
  <c r="F130" i="2"/>
  <c r="E130" i="2"/>
  <c r="D130" i="2"/>
  <c r="I129" i="2"/>
  <c r="F129" i="2"/>
  <c r="E129" i="2"/>
  <c r="D129" i="2"/>
  <c r="I128" i="2"/>
  <c r="F128" i="2"/>
  <c r="E128" i="2"/>
  <c r="D128" i="2"/>
  <c r="I127" i="2"/>
  <c r="F127" i="2"/>
  <c r="E127" i="2"/>
  <c r="D127" i="2"/>
  <c r="I126" i="2"/>
  <c r="F126" i="2"/>
  <c r="E126" i="2"/>
  <c r="D126" i="2"/>
  <c r="I124" i="2"/>
  <c r="F124" i="2"/>
  <c r="E124" i="2"/>
  <c r="D124" i="2"/>
  <c r="I123" i="2"/>
  <c r="F123" i="2"/>
  <c r="E123" i="2"/>
  <c r="D123" i="2"/>
  <c r="I122" i="2"/>
  <c r="F122" i="2"/>
  <c r="E122" i="2"/>
  <c r="D122" i="2"/>
  <c r="I121" i="2"/>
  <c r="F121" i="2"/>
  <c r="E121" i="2"/>
  <c r="D121" i="2"/>
  <c r="E116" i="2"/>
  <c r="E115" i="2"/>
  <c r="E114" i="2"/>
  <c r="E113" i="2"/>
  <c r="E112" i="2"/>
  <c r="E111" i="2"/>
  <c r="E110" i="2"/>
  <c r="E109" i="2"/>
  <c r="E108" i="2"/>
  <c r="D104" i="2"/>
  <c r="D103" i="2"/>
  <c r="D102" i="2"/>
  <c r="D101" i="2"/>
  <c r="D100" i="2"/>
  <c r="D99" i="2"/>
  <c r="D98" i="2"/>
  <c r="D97" i="2"/>
  <c r="D96" i="2"/>
  <c r="D95" i="2"/>
  <c r="D94" i="2"/>
  <c r="D93" i="2"/>
  <c r="D92" i="2"/>
  <c r="D91" i="2"/>
  <c r="D90" i="2"/>
  <c r="D89" i="2"/>
  <c r="H80" i="2"/>
  <c r="E80" i="2"/>
  <c r="H78" i="2"/>
  <c r="E78" i="2"/>
  <c r="H77" i="2"/>
  <c r="E77" i="2"/>
  <c r="H76" i="2"/>
  <c r="E76" i="2"/>
  <c r="H75" i="2"/>
  <c r="E75" i="2"/>
  <c r="H73" i="2"/>
  <c r="E73" i="2"/>
  <c r="H72" i="2"/>
  <c r="E72" i="2"/>
  <c r="H71" i="2"/>
  <c r="E71" i="2"/>
  <c r="H70" i="2"/>
  <c r="E70" i="2"/>
  <c r="H69" i="2"/>
  <c r="E69" i="2"/>
  <c r="H67" i="2"/>
  <c r="E67" i="2"/>
  <c r="H65" i="2"/>
  <c r="E65" i="2"/>
  <c r="H63" i="2"/>
  <c r="E63" i="2"/>
  <c r="H62" i="2"/>
  <c r="E62" i="2"/>
  <c r="H61" i="2"/>
  <c r="E61" i="2"/>
  <c r="H60" i="2"/>
  <c r="E60" i="2"/>
  <c r="H59" i="2"/>
  <c r="E59" i="2"/>
  <c r="H58" i="2"/>
  <c r="E58" i="2"/>
  <c r="H57" i="2"/>
  <c r="E57" i="2"/>
  <c r="H56" i="2"/>
  <c r="E56" i="2"/>
  <c r="H54" i="2"/>
  <c r="E54" i="2"/>
  <c r="H52" i="2"/>
  <c r="E52" i="2"/>
  <c r="D44" i="2"/>
  <c r="D43" i="2"/>
  <c r="D42" i="2"/>
  <c r="E37" i="2"/>
  <c r="D37" i="2"/>
  <c r="F35" i="2"/>
  <c r="E34" i="2"/>
  <c r="D34" i="2"/>
  <c r="E32" i="2"/>
  <c r="D32" i="2"/>
  <c r="C32" i="2"/>
  <c r="K33" i="2"/>
  <c r="K32" i="2"/>
  <c r="K31" i="2"/>
  <c r="K30" i="2"/>
  <c r="C1" i="2"/>
  <c r="C103" i="2"/>
  <c r="C102" i="2"/>
  <c r="C101" i="2"/>
  <c r="C100" i="2"/>
  <c r="C99" i="2"/>
  <c r="C98" i="2"/>
  <c r="C97" i="2"/>
  <c r="C96" i="2"/>
  <c r="C95" i="2"/>
  <c r="C94" i="2"/>
  <c r="C93" i="2"/>
  <c r="C92" i="2"/>
  <c r="C91" i="2"/>
  <c r="C90" i="2"/>
  <c r="C89" i="2"/>
  <c r="C104" i="2"/>
  <c r="F80" i="2"/>
  <c r="D80" i="2"/>
  <c r="F78" i="2"/>
  <c r="D78" i="2"/>
  <c r="F77" i="2"/>
  <c r="D77" i="2"/>
  <c r="F76" i="2"/>
  <c r="D76" i="2"/>
  <c r="F75" i="2"/>
  <c r="D75" i="2"/>
  <c r="F73" i="2"/>
  <c r="D73" i="2"/>
  <c r="F72" i="2"/>
  <c r="D72" i="2"/>
  <c r="F71" i="2"/>
  <c r="D71" i="2"/>
  <c r="D74" i="2" s="1"/>
  <c r="F70" i="2"/>
  <c r="F74" i="2" s="1"/>
  <c r="D70" i="2"/>
  <c r="F69" i="2"/>
  <c r="D69" i="2"/>
  <c r="F67" i="2"/>
  <c r="D67" i="2"/>
  <c r="F65" i="2"/>
  <c r="D65" i="2"/>
  <c r="F63" i="2"/>
  <c r="D63" i="2"/>
  <c r="F62" i="2"/>
  <c r="D62" i="2"/>
  <c r="F61" i="2"/>
  <c r="D61" i="2"/>
  <c r="F60" i="2"/>
  <c r="D60" i="2"/>
  <c r="F59" i="2"/>
  <c r="F64" i="2" s="1"/>
  <c r="D59" i="2"/>
  <c r="F58" i="2"/>
  <c r="D58" i="2"/>
  <c r="F57" i="2"/>
  <c r="D57" i="2"/>
  <c r="F56" i="2"/>
  <c r="D56" i="2"/>
  <c r="F54" i="2"/>
  <c r="D54" i="2"/>
  <c r="F52" i="2"/>
  <c r="D52" i="2"/>
  <c r="D64" i="2"/>
  <c r="D81" i="2" l="1"/>
  <c r="F81" i="2"/>
  <c r="E102" i="2" l="1"/>
  <c r="F101" i="2"/>
  <c r="E98" i="2"/>
  <c r="F97" i="2"/>
  <c r="E91" i="2"/>
  <c r="J67" i="2"/>
  <c r="J65" i="2"/>
  <c r="J63" i="2"/>
  <c r="J57" i="2"/>
  <c r="J56" i="2"/>
  <c r="K21" i="2"/>
  <c r="A21" i="2"/>
  <c r="F98" i="2"/>
  <c r="I80" i="2"/>
  <c r="I78" i="2"/>
  <c r="I76" i="2"/>
  <c r="I75" i="2"/>
  <c r="I73" i="2"/>
  <c r="I72" i="2"/>
  <c r="I71" i="2"/>
  <c r="I67" i="2"/>
  <c r="I65" i="2"/>
  <c r="I63" i="2"/>
  <c r="J62" i="2"/>
  <c r="I62" i="2"/>
  <c r="I61" i="2"/>
  <c r="I59" i="2"/>
  <c r="I58" i="2"/>
  <c r="I57" i="2"/>
  <c r="I56" i="2"/>
  <c r="I54" i="2"/>
  <c r="J76" i="2" l="1"/>
  <c r="J59" i="2"/>
  <c r="J70" i="2"/>
  <c r="J60" i="2"/>
  <c r="J77" i="2"/>
  <c r="E94" i="2"/>
  <c r="F94" i="2" s="1"/>
  <c r="J80" i="2"/>
  <c r="K80" i="2" s="1"/>
  <c r="K56" i="2"/>
  <c r="J61" i="2"/>
  <c r="K61" i="2" s="1"/>
  <c r="E96" i="2"/>
  <c r="F96" i="2" s="1"/>
  <c r="F91" i="2"/>
  <c r="F100" i="2"/>
  <c r="F102" i="2"/>
  <c r="J71" i="2"/>
  <c r="K71" i="2" s="1"/>
  <c r="F89" i="2"/>
  <c r="E104" i="2"/>
  <c r="F104" i="2" s="1"/>
  <c r="E97" i="2"/>
  <c r="J72" i="2"/>
  <c r="K72" i="2" s="1"/>
  <c r="F99" i="2"/>
  <c r="J73" i="2"/>
  <c r="H64" i="2"/>
  <c r="H74" i="2"/>
  <c r="K62" i="2"/>
  <c r="E99" i="2"/>
  <c r="J54" i="2"/>
  <c r="K54" i="2" s="1"/>
  <c r="J75" i="2"/>
  <c r="K75" i="2" s="1"/>
  <c r="E92" i="2"/>
  <c r="E89" i="2"/>
  <c r="E100" i="2"/>
  <c r="E101" i="2"/>
  <c r="E90" i="2"/>
  <c r="F90" i="2" s="1"/>
  <c r="J58" i="2"/>
  <c r="K58" i="2" s="1"/>
  <c r="J69" i="2"/>
  <c r="J78" i="2"/>
  <c r="K78" i="2" s="1"/>
  <c r="K57" i="2"/>
  <c r="K73" i="2"/>
  <c r="I60" i="2"/>
  <c r="K60" i="2" s="1"/>
  <c r="I69" i="2"/>
  <c r="I70" i="2"/>
  <c r="K70" i="2" s="1"/>
  <c r="F92" i="2"/>
  <c r="I77" i="2"/>
  <c r="K77" i="2" s="1"/>
  <c r="E93" i="2"/>
  <c r="F93" i="2" s="1"/>
  <c r="K63" i="2"/>
  <c r="E95" i="2"/>
  <c r="F95" i="2" s="1"/>
  <c r="E103" i="2"/>
  <c r="F103" i="2" s="1"/>
  <c r="K59" i="2"/>
  <c r="E64" i="2"/>
  <c r="E74" i="2"/>
  <c r="K76" i="2"/>
  <c r="K65" i="2"/>
  <c r="K67" i="2"/>
  <c r="D24" i="2"/>
  <c r="A24" i="2"/>
  <c r="J52" i="2"/>
  <c r="I52" i="2"/>
  <c r="A3" i="2"/>
  <c r="H81" i="2" l="1"/>
  <c r="I74" i="2"/>
  <c r="J74" i="2"/>
  <c r="J64" i="2"/>
  <c r="K69" i="2"/>
  <c r="E81" i="2"/>
  <c r="K52" i="2"/>
  <c r="I64" i="2"/>
  <c r="K74" i="2"/>
  <c r="J81" i="2" l="1"/>
  <c r="I81" i="2"/>
  <c r="K64" i="2"/>
  <c r="K81" i="2" l="1"/>
  <c r="D115" i="2" l="1"/>
  <c r="D112" i="2"/>
  <c r="D114" i="2" l="1"/>
  <c r="D113" i="2"/>
  <c r="D111" i="2"/>
  <c r="D110" i="2"/>
  <c r="D109" i="2"/>
  <c r="D108" i="2"/>
  <c r="D116" i="2" l="1"/>
  <c r="E43" i="2" l="1"/>
  <c r="E42" i="2" l="1"/>
  <c r="E44" i="2" l="1"/>
</calcChain>
</file>

<file path=xl/sharedStrings.xml><?xml version="1.0" encoding="utf-8"?>
<sst xmlns="http://schemas.openxmlformats.org/spreadsheetml/2006/main" count="186" uniqueCount="150">
  <si>
    <t>AZ</t>
  </si>
  <si>
    <t>A copy of the agenda of the matters to be discussed or decided at the meeting may be obtained by contacting:</t>
  </si>
  <si>
    <t>Meeting Date:</t>
  </si>
  <si>
    <t>Time:</t>
  </si>
  <si>
    <t>Street Address:</t>
  </si>
  <si>
    <t>Bldg:</t>
  </si>
  <si>
    <t>City:</t>
  </si>
  <si>
    <t>Rm/Ste:</t>
  </si>
  <si>
    <t>State:</t>
  </si>
  <si>
    <t>Zip:</t>
  </si>
  <si>
    <t>Contact Name:</t>
  </si>
  <si>
    <t>Email Address:</t>
  </si>
  <si>
    <t>Phone:</t>
  </si>
  <si>
    <t>Phone Ext:</t>
  </si>
  <si>
    <t>Comments:</t>
  </si>
  <si>
    <t>Location:</t>
  </si>
  <si>
    <t>CTDS:</t>
  </si>
  <si>
    <t>District:</t>
  </si>
  <si>
    <t>The information above is posted on ADE's Web site pursuant to A.R.S. §15-905(C) and is not intended to satisfy Open Meeting Law requirements under A.R.S. §38-431.02 et seq.</t>
  </si>
  <si>
    <t>CTDS NUMBER</t>
  </si>
  <si>
    <t>VERSION</t>
  </si>
  <si>
    <t>I certify that the Budget of</t>
  </si>
  <si>
    <t xml:space="preserve">District, </t>
  </si>
  <si>
    <t>revised by the Governing Board on</t>
  </si>
  <si>
    <t>during normal business hours.</t>
  </si>
  <si>
    <t>President of the Governing Board</t>
  </si>
  <si>
    <t>1.  Average Daily Membership:</t>
  </si>
  <si>
    <t>2.  Tax Rates:</t>
  </si>
  <si>
    <t>Prior Yr.</t>
  </si>
  <si>
    <t>Budget Yr.</t>
  </si>
  <si>
    <t>Attending</t>
  </si>
  <si>
    <t>Budget FY</t>
  </si>
  <si>
    <t>MAINTENANCE AND OPERATION EXPENDITURES</t>
  </si>
  <si>
    <t xml:space="preserve"> </t>
  </si>
  <si>
    <t>% Inc./(Decr.)</t>
  </si>
  <si>
    <t>Salaries and Benefits</t>
  </si>
  <si>
    <t>Other</t>
  </si>
  <si>
    <t>TOTAL</t>
  </si>
  <si>
    <t>from</t>
  </si>
  <si>
    <t>Prior FY</t>
  </si>
  <si>
    <t>100 Regular Education</t>
  </si>
  <si>
    <t xml:space="preserve">   1000 Instruction</t>
  </si>
  <si>
    <t xml:space="preserve">   2000 Support Services</t>
  </si>
  <si>
    <t xml:space="preserve">      2100 Students</t>
  </si>
  <si>
    <t xml:space="preserve">      2200 Instructional Staff</t>
  </si>
  <si>
    <t xml:space="preserve">      2300, 2400, 2500 Administration</t>
  </si>
  <si>
    <t xml:space="preserve">      2600 Oper./Maint. of Plant</t>
  </si>
  <si>
    <t xml:space="preserve">      2900 Other </t>
  </si>
  <si>
    <t xml:space="preserve">   3000 Oper. of Noninstructional Services</t>
  </si>
  <si>
    <t>610 School-Sponsored Cocurric. Activities</t>
  </si>
  <si>
    <t>620 School-Sponsored Athletics</t>
  </si>
  <si>
    <t>630, 700, 800, 900 Other Programs</t>
  </si>
  <si>
    <t xml:space="preserve">   Regular Education Subsection Subtotal </t>
  </si>
  <si>
    <t>200 and 300 Special Education</t>
  </si>
  <si>
    <t xml:space="preserve">   Special Education Subsection Subtotal </t>
  </si>
  <si>
    <t>400 Pupil Transportation</t>
  </si>
  <si>
    <t>510 Desegregation</t>
  </si>
  <si>
    <t>530 Dropout Prevention Programs</t>
  </si>
  <si>
    <t>540 Joint Career and Technical Education</t>
  </si>
  <si>
    <t xml:space="preserve">       and Vocational Education Center</t>
  </si>
  <si>
    <t>550 K-3 Reading Program</t>
  </si>
  <si>
    <t xml:space="preserve">   TOTAL EXPENDITURES</t>
  </si>
  <si>
    <t>TOTAL EXPENDITURES BY FUND</t>
  </si>
  <si>
    <t>$ Increase/</t>
  </si>
  <si>
    <t>% Increase/</t>
  </si>
  <si>
    <t>Budgeted Expenditures</t>
  </si>
  <si>
    <t>(Decrease)</t>
  </si>
  <si>
    <t>Fund</t>
  </si>
  <si>
    <t xml:space="preserve"> Prior FY</t>
  </si>
  <si>
    <t>Maintenance &amp; Operation</t>
  </si>
  <si>
    <t>Instructional Improvement</t>
  </si>
  <si>
    <t>Compensatory Instruction</t>
  </si>
  <si>
    <t>Classroom Site</t>
  </si>
  <si>
    <t>Federal Projects</t>
  </si>
  <si>
    <t>State Projects</t>
  </si>
  <si>
    <t>Unrestricted Capital Outlay</t>
  </si>
  <si>
    <t>New School Facilities</t>
  </si>
  <si>
    <t>Adjacent Ways</t>
  </si>
  <si>
    <t>Debt Service</t>
  </si>
  <si>
    <t>School Plant Fund</t>
  </si>
  <si>
    <t>Auxiliary Operations</t>
  </si>
  <si>
    <t>Bond Building</t>
  </si>
  <si>
    <t>Food Service</t>
  </si>
  <si>
    <t>M&amp;O FUND SPECIAL EDUCATION PROGRAMS BY TYPE</t>
  </si>
  <si>
    <t>PROPOSED STAFFING SUMMARY</t>
  </si>
  <si>
    <r>
      <t>Program (A.R.S. §§15-761</t>
    </r>
    <r>
      <rPr>
        <b/>
        <sz val="8"/>
        <rFont val="Times New Roman"/>
        <family val="1"/>
      </rPr>
      <t xml:space="preserve"> and 15-903)</t>
    </r>
  </si>
  <si>
    <t>Total All Disability Classifications</t>
  </si>
  <si>
    <t>Staff Type</t>
  </si>
  <si>
    <t>Gifted Education</t>
  </si>
  <si>
    <t>Certified --</t>
  </si>
  <si>
    <t>Remedial Education</t>
  </si>
  <si>
    <t>1  to</t>
  </si>
  <si>
    <t>ELL Incremental Costs</t>
  </si>
  <si>
    <t>ELL Compensatory Instruction</t>
  </si>
  <si>
    <t>Teachers</t>
  </si>
  <si>
    <t>Classified --</t>
  </si>
  <si>
    <t xml:space="preserve">             TOTAL</t>
  </si>
  <si>
    <t>Managers, Supervisors, Directors</t>
  </si>
  <si>
    <t>Teachers Aides</t>
  </si>
  <si>
    <t>Special Education --</t>
  </si>
  <si>
    <t>Teacher</t>
  </si>
  <si>
    <t xml:space="preserve">1 to </t>
  </si>
  <si>
    <t>Staff</t>
  </si>
  <si>
    <t>3. Increase in average teacher salary from the prior year</t>
  </si>
  <si>
    <t xml:space="preserve">4. Percentage increase </t>
  </si>
  <si>
    <t>Est. Budget FY</t>
  </si>
  <si>
    <r>
      <t xml:space="preserve">Primary Rate </t>
    </r>
    <r>
      <rPr>
        <sz val="8"/>
        <color indexed="8"/>
        <rFont val="Times New Roman"/>
        <family val="1"/>
      </rPr>
      <t>(equalization formula funding and budget add-ons not required to be in secondary rate)</t>
    </r>
  </si>
  <si>
    <t>Maintenance &amp; Operation Fund</t>
  </si>
  <si>
    <t>Classroom Site Fund</t>
  </si>
  <si>
    <t>Unrestricted Capital Outlay Fund</t>
  </si>
  <si>
    <t>Budgeted</t>
  </si>
  <si>
    <t>Expenditures</t>
  </si>
  <si>
    <t xml:space="preserve">3.  Budgeted expenditures and budget limits  </t>
  </si>
  <si>
    <t>proposed by the Governing Board on</t>
  </si>
  <si>
    <t xml:space="preserve">   at the District Office, telephone</t>
  </si>
  <si>
    <r>
      <rPr>
        <b/>
        <sz val="8"/>
        <rFont val="Times New Roman"/>
        <family val="1"/>
      </rPr>
      <t>Secondary Rate</t>
    </r>
    <r>
      <rPr>
        <sz val="8"/>
        <rFont val="Times New Roman"/>
        <family val="1"/>
      </rPr>
      <t xml:space="preserve"> (voter-approved overrides, bonds, and Career Technical Education Districts, and desegregation, if applicable)</t>
    </r>
  </si>
  <si>
    <t xml:space="preserve"> SUMMARY OF SCHOOL DISTRICT REVISED EXPENDITURE BUDGET</t>
  </si>
  <si>
    <t xml:space="preserve"> SUMMARY OF SCHOOL DISTRICT PROPOSED EXPENDITURE BUDGET</t>
  </si>
  <si>
    <t>Budget Limit</t>
  </si>
  <si>
    <t>Vocational and Technical Education (non-CTED)</t>
  </si>
  <si>
    <t>Career Technical Education (CTED)</t>
  </si>
  <si>
    <t>Career Education (non-CTED)</t>
  </si>
  <si>
    <t>Staff-Pupil Ratio</t>
  </si>
  <si>
    <t>Employee FTE</t>
  </si>
  <si>
    <t>Total FTE</t>
  </si>
  <si>
    <t>Superintendent, Principals, Other Administrators</t>
  </si>
  <si>
    <t>English Language Learners</t>
  </si>
  <si>
    <t>4. Average Teacher Salaries (A.R.S. §15-903.E)</t>
  </si>
  <si>
    <t xml:space="preserve">        Subtotal</t>
  </si>
  <si>
    <t xml:space="preserve">                            TOTAL</t>
  </si>
  <si>
    <t>Purchased Services Personnel FTE</t>
  </si>
  <si>
    <r>
      <t xml:space="preserve">This is a notification that the above mentioned School District will be having a public hearing and board meeting to </t>
    </r>
    <r>
      <rPr>
        <b/>
        <sz val="10"/>
        <color indexed="9"/>
        <rFont val="Arial"/>
        <family val="2"/>
      </rPr>
      <t>revise</t>
    </r>
    <r>
      <rPr>
        <sz val="10"/>
        <color indexed="9"/>
        <rFont val="Arial"/>
        <family val="2"/>
      </rPr>
      <t xml:space="preserve"> its Fiscal Year 2024 Expenditure Budget, as required by A.R.S. §15-905(E)(1).</t>
    </r>
  </si>
  <si>
    <r>
      <t xml:space="preserve">This is a notification that the above mentioned School District will be having a public hearing and board meeting to </t>
    </r>
    <r>
      <rPr>
        <b/>
        <sz val="10"/>
        <color indexed="9"/>
        <rFont val="Arial"/>
        <family val="2"/>
      </rPr>
      <t>adopt</t>
    </r>
    <r>
      <rPr>
        <sz val="10"/>
        <color indexed="9"/>
        <rFont val="Arial"/>
        <family val="2"/>
      </rPr>
      <t xml:space="preserve"> its Fiscal Year 2024 Expenditure Budget.</t>
    </r>
  </si>
  <si>
    <t>, 2023, and that the complete Revised Expenditure Budget may be reviewed by contacting</t>
  </si>
  <si>
    <t>1. Average salary of all teachers employed in FY 2024 (budget year)</t>
  </si>
  <si>
    <t>2. Average salary of all teachers employed in FY 2023 (prior year)</t>
  </si>
  <si>
    <t>County for fiscal year 2024 was officially</t>
  </si>
  <si>
    <t>2022 ADM</t>
  </si>
  <si>
    <t>2023 ADM</t>
  </si>
  <si>
    <t>2024 ADM</t>
  </si>
  <si>
    <t>, 2023, and that the complete Proposed Expenditure Budget may be reviewed by contacting</t>
  </si>
  <si>
    <t>110100000</t>
  </si>
  <si>
    <t>75 N. Bailey St.</t>
  </si>
  <si>
    <t>Superintendent Bldg.</t>
  </si>
  <si>
    <t>Resource Library</t>
  </si>
  <si>
    <t>Florence</t>
  </si>
  <si>
    <t>Tonya Taylor</t>
  </si>
  <si>
    <t>520-866-6579</t>
  </si>
  <si>
    <t>ttaylor@pinalcso.org</t>
  </si>
  <si>
    <t>June 14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</si>
</sst>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409]h:mm\ AM/PM;@"/>
    <numFmt numFmtId="165" formatCode="#,##0.000_);[Red]\(#,##0.000\)"/>
    <numFmt numFmtId="166" formatCode="#,##0.0000_);[Red]\(#,##0.0000\)"/>
    <numFmt numFmtId="167" formatCode="0.0%"/>
    <numFmt numFmtId="168" formatCode="#,##0.0_);\(#,##0.0\)"/>
  </numFmts>
  <fonts count="23">
    <font>
      <sz val="10"/>
      <name val="Arial"/>
      <family val="2"/>
    </font>
    <font>
      <u/>
      <sz val="10"/>
      <color indexed="12"/>
      <name val="Arial"/>
      <family val="2"/>
    </font>
    <font>
      <b/>
      <sz val="10"/>
      <name val="Arial"/>
      <family val="2"/>
    </font>
    <font>
      <sz val="8"/>
      <name val="Arial MT"/>
      <family val="2"/>
    </font>
    <font>
      <b/>
      <sz val="8"/>
      <color indexed="8"/>
      <name val="Times New Roman"/>
      <family val="1"/>
    </font>
    <font>
      <sz val="8"/>
      <name val="Times New Roman"/>
      <family val="1"/>
    </font>
    <font>
      <b/>
      <sz val="8"/>
      <name val="Times New Roman"/>
      <family val="1"/>
    </font>
    <font>
      <sz val="8"/>
      <color indexed="8"/>
      <name val="Times New Roman"/>
      <family val="1"/>
    </font>
    <font>
      <b/>
      <sz val="8"/>
      <color indexed="12"/>
      <name val="Times New Roman"/>
      <family val="1"/>
    </font>
    <font>
      <sz val="9"/>
      <name val="Arial MT"/>
      <family val="2"/>
    </font>
    <font>
      <sz val="12"/>
      <name val="Arial"/>
      <family val="2"/>
    </font>
    <font>
      <b/>
      <vertAlign val="superscript"/>
      <sz val="8"/>
      <color indexed="8"/>
      <name val="Times New Roman"/>
      <family val="1"/>
    </font>
    <font>
      <sz val="9"/>
      <name val="Times New Roman"/>
      <family val="1"/>
    </font>
    <font>
      <sz val="10"/>
      <color indexed="9"/>
      <name val="Arial"/>
      <family val="2"/>
    </font>
    <font>
      <b/>
      <sz val="10"/>
      <color indexed="9"/>
      <name val="Arial"/>
      <family val="2"/>
    </font>
    <font>
      <b/>
      <sz val="20"/>
      <color rgb="FFC00000"/>
      <name val="Times New Roman"/>
      <family val="1"/>
    </font>
    <font>
      <sz val="10"/>
      <color theme="0"/>
      <name val="Arial"/>
      <family val="2"/>
    </font>
    <font>
      <b/>
      <sz val="22"/>
      <color rgb="FFFF0000"/>
      <name val="Times New Roman"/>
      <family val="1"/>
    </font>
    <font>
      <b/>
      <sz val="8"/>
      <color theme="0"/>
      <name val="Times New Roman"/>
      <family val="1"/>
    </font>
    <font>
      <sz val="8"/>
      <color theme="0"/>
      <name val="Times New Roman"/>
      <family val="1"/>
    </font>
    <font>
      <b/>
      <sz val="9"/>
      <name val="Times New Roman"/>
      <family val="1"/>
    </font>
    <font>
      <b/>
      <sz val="22"/>
      <name val="Times New Roman"/>
      <family val="1"/>
    </font>
    <font>
      <sz val="10"/>
      <name val="Arial"/>
      <family val="2"/>
    </font>
  </fonts>
  <fills count="4">
    <fill>
      <patternFill patternType="none"/>
    </fill>
    <fill>
      <patternFill patternType="gray125"/>
    </fill>
    <fill>
      <patternFill patternType="solid">
        <fgColor indexed="9"/>
        <bgColor indexed="64"/>
      </patternFill>
    </fill>
    <fill>
      <patternFill patternType="solid">
        <fgColor rgb="FFCCFFFF"/>
        <bgColor indexed="64"/>
      </patternFill>
    </fill>
  </fills>
  <borders count="55">
    <border>
      <left/>
      <right/>
      <top/>
      <bottom/>
      <diagonal/>
    </border>
    <border>
      <left/>
      <right/>
      <top style="thin">
        <color auto="1"/>
      </top>
      <bottom style="thin">
        <color auto="1"/>
      </bottom>
      <diagonal/>
    </border>
    <border>
      <left/>
      <right/>
      <top/>
      <bottom style="thin">
        <color auto="1"/>
      </bottom>
      <diagonal/>
    </border>
    <border>
      <left style="thin">
        <color auto="1"/>
      </left>
      <right/>
      <top style="thin">
        <color auto="1"/>
      </top>
      <bottom/>
      <diagonal/>
    </border>
    <border>
      <left style="thin">
        <color indexed="8"/>
      </left>
      <right/>
      <top/>
      <bottom/>
      <diagonal/>
    </border>
    <border>
      <left/>
      <right/>
      <top style="thin">
        <color auto="1"/>
      </top>
      <bottom/>
      <diagonal/>
    </border>
    <border>
      <left/>
      <right style="thin">
        <color auto="1"/>
      </right>
      <top style="thin">
        <color auto="1"/>
      </top>
      <bottom style="thin">
        <color indexed="8"/>
      </bottom>
      <diagonal/>
    </border>
    <border>
      <left/>
      <right style="thin">
        <color indexed="8"/>
      </right>
      <top style="thin">
        <color indexed="8"/>
      </top>
      <bottom/>
      <diagonal/>
    </border>
    <border>
      <left style="thin">
        <color indexed="8"/>
      </left>
      <right/>
      <top style="thin">
        <color indexed="8"/>
      </top>
      <bottom/>
      <diagonal/>
    </border>
    <border>
      <left style="thin">
        <color auto="1"/>
      </left>
      <right/>
      <top/>
      <bottom/>
      <diagonal/>
    </border>
    <border>
      <left/>
      <right style="thin">
        <color indexed="8"/>
      </right>
      <top/>
      <bottom/>
      <diagonal/>
    </border>
    <border>
      <left style="thin">
        <color indexed="8"/>
      </left>
      <right style="thin">
        <color indexed="8"/>
      </right>
      <top/>
      <bottom style="thin">
        <color indexed="8"/>
      </bottom>
      <diagonal/>
    </border>
    <border>
      <left style="thin">
        <color auto="1"/>
      </left>
      <right/>
      <top/>
      <bottom style="thin">
        <color auto="1"/>
      </bottom>
      <diagonal/>
    </border>
    <border>
      <left/>
      <right style="thin">
        <color indexed="8"/>
      </right>
      <top/>
      <bottom style="thin">
        <color auto="1"/>
      </bottom>
      <diagonal/>
    </border>
    <border>
      <left/>
      <right/>
      <top/>
      <bottom style="thin">
        <color indexed="8"/>
      </bottom>
      <diagonal/>
    </border>
    <border>
      <left/>
      <right style="thin">
        <color indexed="8"/>
      </right>
      <top/>
      <bottom style="thin">
        <color indexed="8"/>
      </bottom>
      <diagonal/>
    </border>
    <border>
      <left style="thin">
        <color indexed="8"/>
      </left>
      <right/>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right/>
      <top style="thin">
        <color indexed="8"/>
      </top>
      <bottom/>
      <diagonal/>
    </border>
    <border>
      <left style="thin">
        <color auto="1"/>
      </left>
      <right/>
      <top style="thin">
        <color auto="1"/>
      </top>
      <bottom style="thin">
        <color indexed="8"/>
      </bottom>
      <diagonal/>
    </border>
    <border>
      <left/>
      <right style="thin">
        <color auto="1"/>
      </right>
      <top/>
      <bottom/>
      <diagonal/>
    </border>
    <border>
      <left style="thin">
        <color indexed="8"/>
      </left>
      <right/>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8"/>
      </left>
      <right style="thin">
        <color indexed="8"/>
      </right>
      <top style="thin">
        <color auto="1"/>
      </top>
      <bottom/>
      <diagonal/>
    </border>
    <border>
      <left/>
      <right/>
      <top style="thin">
        <color auto="1"/>
      </top>
      <bottom style="thin">
        <color indexed="8"/>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thin">
        <color auto="1"/>
      </bottom>
      <diagonal/>
    </border>
    <border>
      <left style="thin">
        <color auto="1"/>
      </left>
      <right/>
      <top style="thin">
        <color indexed="8"/>
      </top>
      <bottom style="thin">
        <color auto="1"/>
      </bottom>
      <diagonal/>
    </border>
    <border>
      <left style="thin">
        <color indexed="8"/>
      </left>
      <right style="thin">
        <color indexed="8"/>
      </right>
      <top style="medium">
        <color auto="1"/>
      </top>
      <bottom style="thin">
        <color indexed="8"/>
      </bottom>
      <diagonal/>
    </border>
    <border>
      <left style="thin">
        <color indexed="8"/>
      </left>
      <right style="thin">
        <color indexed="8"/>
      </right>
      <top/>
      <bottom style="medium">
        <color indexed="8"/>
      </bottom>
      <diagonal/>
    </border>
    <border>
      <left style="thin">
        <color indexed="8"/>
      </left>
      <right style="thin">
        <color indexed="8"/>
      </right>
      <top/>
      <bottom style="double">
        <color indexed="8"/>
      </bottom>
      <diagonal/>
    </border>
    <border>
      <left/>
      <right style="thin">
        <color auto="1"/>
      </right>
      <top style="thin">
        <color auto="1"/>
      </top>
      <bottom style="thin">
        <color auto="1"/>
      </bottom>
      <diagonal/>
    </border>
    <border>
      <left style="thin">
        <color indexed="8"/>
      </left>
      <right style="thin">
        <color auto="1"/>
      </right>
      <top style="thin">
        <color auto="1"/>
      </top>
      <bottom/>
      <diagonal/>
    </border>
    <border>
      <left style="thin">
        <color indexed="8"/>
      </left>
      <right style="thin">
        <color auto="1"/>
      </right>
      <top/>
      <bottom/>
      <diagonal/>
    </border>
    <border>
      <left style="thin">
        <color indexed="8"/>
      </left>
      <right style="thin">
        <color auto="1"/>
      </right>
      <top/>
      <bottom style="thin">
        <color indexed="8"/>
      </bottom>
      <diagonal/>
    </border>
    <border>
      <left style="thin">
        <color auto="1"/>
      </left>
      <right style="thin">
        <color auto="1"/>
      </right>
      <top/>
      <bottom/>
      <diagonal/>
    </border>
    <border>
      <left style="thin">
        <color auto="1"/>
      </left>
      <right style="thin">
        <color auto="1"/>
      </right>
      <top/>
      <bottom style="thin">
        <color indexed="8"/>
      </bottom>
      <diagonal/>
    </border>
    <border>
      <left style="thin">
        <color indexed="8"/>
      </left>
      <right style="thin">
        <color auto="1"/>
      </right>
      <top style="thin">
        <color indexed="8"/>
      </top>
      <bottom/>
      <diagonal/>
    </border>
    <border>
      <left style="thin">
        <color auto="1"/>
      </left>
      <right style="thin">
        <color auto="1"/>
      </right>
      <top/>
      <bottom style="thin">
        <color auto="1"/>
      </bottom>
      <diagonal/>
    </border>
    <border>
      <left/>
      <right style="thin">
        <color auto="1"/>
      </right>
      <top style="thin">
        <color indexed="8"/>
      </top>
      <bottom style="thin">
        <color indexed="8"/>
      </bottom>
      <diagonal/>
    </border>
    <border>
      <left/>
      <right style="thin">
        <color auto="1"/>
      </right>
      <top style="thin">
        <color indexed="8"/>
      </top>
      <bottom/>
      <diagonal/>
    </border>
    <border>
      <left/>
      <right style="thin">
        <color auto="1"/>
      </right>
      <top/>
      <bottom style="thin">
        <color indexed="8"/>
      </bottom>
      <diagonal/>
    </border>
    <border>
      <left style="thin">
        <color indexed="8"/>
      </left>
      <right/>
      <top style="thin">
        <color indexed="8"/>
      </top>
      <bottom style="thin">
        <color auto="1"/>
      </bottom>
      <diagonal/>
    </border>
    <border>
      <left/>
      <right style="thin">
        <color auto="1"/>
      </right>
      <top style="thin">
        <color indexed="8"/>
      </top>
      <bottom style="thin">
        <color auto="1"/>
      </bottom>
      <diagonal/>
    </border>
    <border>
      <left/>
      <right style="thin">
        <color indexed="8"/>
      </right>
      <top style="thin">
        <color indexed="8"/>
      </top>
      <bottom style="thin">
        <color auto="1"/>
      </bottom>
      <diagonal/>
    </border>
    <border>
      <left style="thin">
        <color indexed="8"/>
      </left>
      <right/>
      <top style="thin">
        <color auto="1"/>
      </top>
      <bottom style="thin">
        <color indexed="8"/>
      </bottom>
      <diagonal/>
    </border>
    <border>
      <left/>
      <right style="thin">
        <color indexed="8"/>
      </right>
      <top style="thin">
        <color auto="1"/>
      </top>
      <bottom style="thin">
        <color indexed="8"/>
      </bottom>
      <diagonal/>
    </border>
  </borders>
  <cellStyleXfs count="11">
    <xf numFmtId="0" fontId="0" fillId="0" borderId="0"/>
    <xf numFmtId="9" fontId="22" fillId="0" borderId="0" applyFont="0" applyFill="0" applyBorder="0" applyAlignment="0" applyProtection="0"/>
    <xf numFmtId="44" fontId="22" fillId="0" borderId="0" applyFont="0" applyFill="0" applyBorder="0" applyAlignment="0" applyProtection="0"/>
    <xf numFmtId="42" fontId="22" fillId="0" borderId="0" applyFont="0" applyFill="0" applyBorder="0" applyAlignment="0" applyProtection="0"/>
    <xf numFmtId="43" fontId="22" fillId="0" borderId="0" applyFont="0" applyFill="0" applyBorder="0" applyAlignment="0" applyProtection="0"/>
    <xf numFmtId="41" fontId="22" fillId="0" borderId="0" applyFont="0" applyFill="0" applyBorder="0" applyAlignment="0" applyProtection="0"/>
    <xf numFmtId="0" fontId="1" fillId="0" borderId="0" applyNumberFormat="0" applyFill="0" applyBorder="0">
      <protection locked="0"/>
    </xf>
    <xf numFmtId="0" fontId="22" fillId="0" borderId="0"/>
    <xf numFmtId="0" fontId="9" fillId="2" borderId="0"/>
    <xf numFmtId="0" fontId="3" fillId="2" borderId="0"/>
    <xf numFmtId="0" fontId="3" fillId="2" borderId="0"/>
  </cellStyleXfs>
  <cellXfs count="318">
    <xf numFmtId="0" fontId="0" fillId="0" borderId="0" xfId="0"/>
    <xf numFmtId="0" fontId="22" fillId="0" borderId="1" xfId="7" applyBorder="1" applyAlignment="1" applyProtection="1">
      <alignment horizontal="center"/>
      <protection locked="0"/>
    </xf>
    <xf numFmtId="49" fontId="6" fillId="0" borderId="2" xfId="7" applyNumberFormat="1" applyFont="1" applyBorder="1" applyAlignment="1" applyProtection="1">
      <alignment horizontal="center"/>
      <protection locked="0"/>
    </xf>
    <xf numFmtId="0" fontId="6" fillId="0" borderId="2" xfId="7" applyFont="1" applyBorder="1" applyProtection="1">
      <protection locked="0"/>
    </xf>
    <xf numFmtId="0" fontId="22" fillId="0" borderId="0" xfId="7" applyAlignment="1">
      <alignment horizontal="right"/>
    </xf>
    <xf numFmtId="49" fontId="22" fillId="0" borderId="2" xfId="7" applyNumberFormat="1" applyBorder="1"/>
    <xf numFmtId="0" fontId="22" fillId="0" borderId="0" xfId="7"/>
    <xf numFmtId="49" fontId="0" fillId="2" borderId="14" xfId="9" applyNumberFormat="1" applyFont="1" applyBorder="1" applyAlignment="1">
      <alignment horizontal="center"/>
    </xf>
    <xf numFmtId="49" fontId="0" fillId="2" borderId="0" xfId="9" applyNumberFormat="1" applyFont="1" applyAlignment="1">
      <alignment horizontal="center"/>
    </xf>
    <xf numFmtId="0" fontId="2" fillId="0" borderId="0" xfId="7" applyFont="1" applyAlignment="1">
      <alignment wrapText="1"/>
    </xf>
    <xf numFmtId="0" fontId="16" fillId="0" borderId="0" xfId="7" applyFont="1"/>
    <xf numFmtId="0" fontId="0" fillId="0" borderId="0" xfId="0" applyAlignment="1">
      <alignment wrapText="1"/>
    </xf>
    <xf numFmtId="0" fontId="16" fillId="0" borderId="0" xfId="0" applyFont="1" applyAlignment="1">
      <alignment wrapText="1"/>
    </xf>
    <xf numFmtId="0" fontId="22" fillId="0" borderId="0" xfId="7" applyAlignment="1">
      <alignment horizontal="center"/>
    </xf>
    <xf numFmtId="0" fontId="2" fillId="0" borderId="0" xfId="7" applyFont="1"/>
    <xf numFmtId="164" fontId="22" fillId="0" borderId="0" xfId="7" applyNumberFormat="1" applyAlignment="1">
      <alignment horizontal="center"/>
    </xf>
    <xf numFmtId="0" fontId="22" fillId="0" borderId="1" xfId="7" applyBorder="1" applyAlignment="1">
      <alignment horizontal="center"/>
    </xf>
    <xf numFmtId="0" fontId="22" fillId="0" borderId="0" xfId="7" applyAlignment="1">
      <alignment vertical="top" wrapText="1"/>
    </xf>
    <xf numFmtId="0" fontId="22" fillId="0" borderId="0" xfId="7" applyAlignment="1">
      <alignment horizontal="left"/>
    </xf>
    <xf numFmtId="0" fontId="18" fillId="0" borderId="0" xfId="7" applyFont="1"/>
    <xf numFmtId="37" fontId="4" fillId="2" borderId="0" xfId="9" applyNumberFormat="1" applyFont="1" applyAlignment="1">
      <alignment horizontal="right"/>
    </xf>
    <xf numFmtId="0" fontId="3" fillId="2" borderId="0" xfId="9"/>
    <xf numFmtId="0" fontId="22" fillId="0" borderId="0" xfId="7" applyAlignment="1">
      <alignment wrapText="1"/>
    </xf>
    <xf numFmtId="0" fontId="6" fillId="0" borderId="0" xfId="7" applyFont="1" applyAlignment="1">
      <alignment horizontal="right" wrapText="1"/>
    </xf>
    <xf numFmtId="0" fontId="6" fillId="2" borderId="0" xfId="9" applyFont="1" applyAlignment="1">
      <alignment horizontal="left"/>
    </xf>
    <xf numFmtId="0" fontId="6" fillId="2" borderId="0" xfId="9" applyFont="1" applyAlignment="1">
      <alignment horizontal="center"/>
    </xf>
    <xf numFmtId="0" fontId="6" fillId="0" borderId="0" xfId="9" applyFont="1" applyFill="1"/>
    <xf numFmtId="0" fontId="6" fillId="0" borderId="0" xfId="7" applyFont="1"/>
    <xf numFmtId="0" fontId="5" fillId="2" borderId="0" xfId="9" applyFont="1"/>
    <xf numFmtId="37" fontId="7" fillId="2" borderId="0" xfId="9" applyNumberFormat="1" applyFont="1"/>
    <xf numFmtId="0" fontId="19" fillId="0" borderId="0" xfId="7" applyFont="1"/>
    <xf numFmtId="37" fontId="4" fillId="2" borderId="0" xfId="9" applyNumberFormat="1" applyFont="1"/>
    <xf numFmtId="0" fontId="8" fillId="3" borderId="3" xfId="6" applyNumberFormat="1" applyFont="1" applyFill="1" applyBorder="1" applyProtection="1"/>
    <xf numFmtId="0" fontId="8" fillId="3" borderId="5" xfId="6" applyNumberFormat="1" applyFont="1" applyFill="1" applyBorder="1" applyProtection="1"/>
    <xf numFmtId="0" fontId="3" fillId="0" borderId="19" xfId="9" applyFill="1" applyBorder="1"/>
    <xf numFmtId="37" fontId="4" fillId="0" borderId="19" xfId="9" applyNumberFormat="1" applyFont="1" applyFill="1" applyBorder="1" applyAlignment="1">
      <alignment horizontal="center" vertical="center"/>
    </xf>
    <xf numFmtId="37" fontId="4" fillId="0" borderId="3" xfId="9" applyNumberFormat="1" applyFont="1" applyFill="1" applyBorder="1" applyAlignment="1">
      <alignment horizontal="left"/>
    </xf>
    <xf numFmtId="37" fontId="4" fillId="0" borderId="5" xfId="9" applyNumberFormat="1" applyFont="1" applyFill="1" applyBorder="1" applyAlignment="1">
      <alignment horizontal="left"/>
    </xf>
    <xf numFmtId="0" fontId="12" fillId="0" borderId="19" xfId="0" applyFont="1" applyBorder="1" applyAlignment="1">
      <alignment horizontal="left"/>
    </xf>
    <xf numFmtId="0" fontId="12" fillId="0" borderId="19" xfId="0" applyFont="1" applyBorder="1"/>
    <xf numFmtId="37" fontId="20" fillId="0" borderId="7" xfId="9" applyNumberFormat="1" applyFont="1" applyFill="1" applyBorder="1" applyAlignment="1">
      <alignment vertical="top" wrapText="1"/>
    </xf>
    <xf numFmtId="37" fontId="4" fillId="2" borderId="4" xfId="9" applyNumberFormat="1" applyFont="1" applyBorder="1"/>
    <xf numFmtId="0" fontId="6" fillId="0" borderId="0" xfId="9" applyFont="1" applyFill="1" applyAlignment="1">
      <alignment horizontal="center" vertical="top"/>
    </xf>
    <xf numFmtId="37" fontId="5" fillId="0" borderId="9" xfId="9" applyNumberFormat="1" applyFont="1" applyFill="1" applyBorder="1" applyAlignment="1">
      <alignment horizontal="left"/>
    </xf>
    <xf numFmtId="37" fontId="7" fillId="0" borderId="0" xfId="9" applyNumberFormat="1" applyFont="1" applyFill="1" applyAlignment="1">
      <alignment horizontal="left"/>
    </xf>
    <xf numFmtId="0" fontId="3" fillId="0" borderId="0" xfId="9" applyFill="1"/>
    <xf numFmtId="0" fontId="5" fillId="0" borderId="0" xfId="0" applyFont="1" applyAlignment="1">
      <alignment horizontal="right"/>
    </xf>
    <xf numFmtId="37" fontId="4" fillId="2" borderId="10" xfId="9" applyNumberFormat="1" applyFont="1" applyBorder="1" applyAlignment="1">
      <alignment horizontal="center" vertical="center"/>
    </xf>
    <xf numFmtId="165" fontId="7" fillId="0" borderId="31" xfId="9" applyNumberFormat="1" applyFont="1" applyFill="1" applyBorder="1"/>
    <xf numFmtId="0" fontId="5" fillId="2" borderId="8" xfId="9" applyFont="1" applyBorder="1"/>
    <xf numFmtId="37" fontId="4" fillId="2" borderId="15" xfId="9" applyNumberFormat="1" applyFont="1" applyBorder="1" applyAlignment="1">
      <alignment horizontal="center" vertical="center"/>
    </xf>
    <xf numFmtId="165" fontId="5" fillId="0" borderId="11" xfId="7" applyNumberFormat="1" applyFont="1" applyBorder="1"/>
    <xf numFmtId="165" fontId="5" fillId="0" borderId="16" xfId="7" applyNumberFormat="1" applyFont="1" applyBorder="1"/>
    <xf numFmtId="37" fontId="7" fillId="0" borderId="4" xfId="9" applyNumberFormat="1" applyFont="1" applyFill="1" applyBorder="1" applyAlignment="1">
      <alignment horizontal="left"/>
    </xf>
    <xf numFmtId="37" fontId="4" fillId="2" borderId="8" xfId="9" applyNumberFormat="1" applyFont="1" applyBorder="1"/>
    <xf numFmtId="37" fontId="4" fillId="2" borderId="19" xfId="9" applyNumberFormat="1" applyFont="1" applyBorder="1"/>
    <xf numFmtId="0" fontId="6" fillId="2" borderId="5" xfId="9" applyFont="1" applyBorder="1" applyAlignment="1">
      <alignment horizontal="center"/>
    </xf>
    <xf numFmtId="0" fontId="5" fillId="0" borderId="0" xfId="0" quotePrefix="1" applyFont="1" applyAlignment="1">
      <alignment horizontal="left"/>
    </xf>
    <xf numFmtId="0" fontId="5" fillId="0" borderId="0" xfId="7" applyFont="1"/>
    <xf numFmtId="0" fontId="5" fillId="0" borderId="10" xfId="7" applyFont="1" applyBorder="1"/>
    <xf numFmtId="37" fontId="21" fillId="0" borderId="0" xfId="9" applyNumberFormat="1" applyFont="1" applyFill="1" applyAlignment="1">
      <alignment vertical="top" wrapText="1"/>
    </xf>
    <xf numFmtId="37" fontId="17" fillId="0" borderId="0" xfId="9" applyNumberFormat="1" applyFont="1" applyFill="1" applyAlignment="1">
      <alignment vertical="top" wrapText="1"/>
    </xf>
    <xf numFmtId="37" fontId="4" fillId="0" borderId="0" xfId="9" applyNumberFormat="1" applyFont="1" applyFill="1" applyAlignment="1">
      <alignment horizontal="left"/>
    </xf>
    <xf numFmtId="0" fontId="12" fillId="0" borderId="0" xfId="0" applyFont="1" applyAlignment="1">
      <alignment horizontal="left"/>
    </xf>
    <xf numFmtId="0" fontId="12" fillId="0" borderId="0" xfId="0" applyFont="1"/>
    <xf numFmtId="38" fontId="5" fillId="0" borderId="0" xfId="0" applyNumberFormat="1" applyFont="1"/>
    <xf numFmtId="37" fontId="4" fillId="2" borderId="8" xfId="9" applyNumberFormat="1" applyFont="1" applyBorder="1" applyAlignment="1">
      <alignment horizontal="left"/>
    </xf>
    <xf numFmtId="37" fontId="4" fillId="2" borderId="0" xfId="9" applyNumberFormat="1" applyFont="1" applyAlignment="1">
      <alignment horizontal="left"/>
    </xf>
    <xf numFmtId="0" fontId="6" fillId="2" borderId="19" xfId="9" applyFont="1" applyBorder="1" applyAlignment="1">
      <alignment horizontal="center"/>
    </xf>
    <xf numFmtId="0" fontId="6" fillId="2" borderId="27" xfId="9" applyFont="1" applyBorder="1" applyAlignment="1">
      <alignment horizontal="center"/>
    </xf>
    <xf numFmtId="9" fontId="5" fillId="0" borderId="0" xfId="1" applyFont="1" applyFill="1" applyBorder="1" applyProtection="1"/>
    <xf numFmtId="0" fontId="22" fillId="0" borderId="4" xfId="7" applyBorder="1"/>
    <xf numFmtId="0" fontId="6" fillId="2" borderId="28" xfId="9" applyFont="1" applyBorder="1" applyAlignment="1">
      <alignment horizontal="center"/>
    </xf>
    <xf numFmtId="37" fontId="4" fillId="2" borderId="4" xfId="9" applyNumberFormat="1" applyFont="1" applyBorder="1" applyAlignment="1">
      <alignment horizontal="left"/>
    </xf>
    <xf numFmtId="37" fontId="7" fillId="2" borderId="8" xfId="9" applyNumberFormat="1" applyFont="1" applyBorder="1"/>
    <xf numFmtId="37" fontId="7" fillId="2" borderId="24" xfId="9" applyNumberFormat="1" applyFont="1" applyBorder="1"/>
    <xf numFmtId="37" fontId="5" fillId="2" borderId="23" xfId="10" applyNumberFormat="1" applyFont="1" applyBorder="1"/>
    <xf numFmtId="37" fontId="7" fillId="2" borderId="25" xfId="9" applyNumberFormat="1" applyFont="1" applyBorder="1"/>
    <xf numFmtId="37" fontId="4" fillId="2" borderId="22" xfId="9" applyNumberFormat="1" applyFont="1" applyBorder="1" applyAlignment="1">
      <alignment horizontal="left"/>
    </xf>
    <xf numFmtId="37" fontId="4" fillId="2" borderId="2" xfId="9" applyNumberFormat="1" applyFont="1" applyBorder="1" applyAlignment="1">
      <alignment horizontal="left"/>
    </xf>
    <xf numFmtId="0" fontId="22" fillId="0" borderId="2" xfId="7" applyBorder="1"/>
    <xf numFmtId="37" fontId="7" fillId="2" borderId="20" xfId="9" applyNumberFormat="1" applyFont="1" applyBorder="1"/>
    <xf numFmtId="37" fontId="7" fillId="2" borderId="26" xfId="9" applyNumberFormat="1" applyFont="1" applyBorder="1"/>
    <xf numFmtId="0" fontId="10" fillId="0" borderId="0" xfId="7" applyFont="1" applyAlignment="1">
      <alignment horizontal="left" vertical="center" wrapText="1"/>
    </xf>
    <xf numFmtId="0" fontId="10" fillId="0" borderId="2" xfId="7" applyFont="1" applyBorder="1" applyAlignment="1">
      <alignment horizontal="left" vertical="center" wrapText="1"/>
    </xf>
    <xf numFmtId="37" fontId="4" fillId="2" borderId="3" xfId="9" applyNumberFormat="1" applyFont="1" applyBorder="1" applyAlignment="1">
      <alignment horizontal="centerContinuous"/>
    </xf>
    <xf numFmtId="37" fontId="4" fillId="2" borderId="5" xfId="9" applyNumberFormat="1" applyFont="1" applyBorder="1" applyAlignment="1">
      <alignment horizontal="centerContinuous"/>
    </xf>
    <xf numFmtId="0" fontId="5" fillId="2" borderId="5" xfId="9" applyFont="1" applyBorder="1" applyAlignment="1">
      <alignment horizontal="centerContinuous"/>
    </xf>
    <xf numFmtId="37" fontId="4" fillId="2" borderId="32" xfId="9" applyNumberFormat="1" applyFont="1" applyBorder="1" applyAlignment="1">
      <alignment horizontal="centerContinuous"/>
    </xf>
    <xf numFmtId="37" fontId="4" fillId="2" borderId="6" xfId="9" applyNumberFormat="1" applyFont="1" applyBorder="1" applyAlignment="1">
      <alignment horizontal="centerContinuous"/>
    </xf>
    <xf numFmtId="37" fontId="4" fillId="2" borderId="9" xfId="9" applyNumberFormat="1" applyFont="1" applyBorder="1"/>
    <xf numFmtId="37" fontId="4" fillId="2" borderId="10" xfId="9" applyNumberFormat="1" applyFont="1" applyBorder="1"/>
    <xf numFmtId="37" fontId="4" fillId="2" borderId="7" xfId="9" applyNumberFormat="1" applyFont="1" applyBorder="1"/>
    <xf numFmtId="37" fontId="4" fillId="2" borderId="7" xfId="9" applyNumberFormat="1" applyFont="1" applyBorder="1" applyAlignment="1">
      <alignment horizontal="centerContinuous"/>
    </xf>
    <xf numFmtId="37" fontId="4" fillId="2" borderId="8" xfId="9" applyNumberFormat="1" applyFont="1" applyBorder="1" applyAlignment="1">
      <alignment horizontal="centerContinuous"/>
    </xf>
    <xf numFmtId="37" fontId="4" fillId="2" borderId="8" xfId="9" applyNumberFormat="1" applyFont="1" applyBorder="1" applyAlignment="1">
      <alignment horizontal="center"/>
    </xf>
    <xf numFmtId="37" fontId="4" fillId="2" borderId="16" xfId="9" applyNumberFormat="1" applyFont="1" applyBorder="1" applyAlignment="1">
      <alignment horizontal="centerContinuous"/>
    </xf>
    <xf numFmtId="37" fontId="4" fillId="2" borderId="15" xfId="9" applyNumberFormat="1" applyFont="1" applyBorder="1" applyAlignment="1">
      <alignment horizontal="centerContinuous"/>
    </xf>
    <xf numFmtId="37" fontId="4" fillId="2" borderId="4" xfId="9" applyNumberFormat="1" applyFont="1" applyBorder="1" applyAlignment="1">
      <alignment horizontal="centerContinuous"/>
    </xf>
    <xf numFmtId="37" fontId="4" fillId="2" borderId="0" xfId="9" applyNumberFormat="1" applyFont="1" applyAlignment="1">
      <alignment horizontal="centerContinuous"/>
    </xf>
    <xf numFmtId="37" fontId="4" fillId="2" borderId="4" xfId="9" applyNumberFormat="1" applyFont="1" applyBorder="1" applyAlignment="1">
      <alignment horizontal="center"/>
    </xf>
    <xf numFmtId="37" fontId="4" fillId="2" borderId="33" xfId="9" applyNumberFormat="1" applyFont="1" applyBorder="1" applyAlignment="1">
      <alignment horizontal="center"/>
    </xf>
    <xf numFmtId="37" fontId="4" fillId="2" borderId="11" xfId="9" applyNumberFormat="1" applyFont="1" applyBorder="1"/>
    <xf numFmtId="37" fontId="4" fillId="2" borderId="16" xfId="9" applyNumberFormat="1" applyFont="1" applyBorder="1"/>
    <xf numFmtId="37" fontId="4" fillId="2" borderId="16" xfId="9" applyNumberFormat="1" applyFont="1" applyBorder="1" applyAlignment="1">
      <alignment horizontal="center"/>
    </xf>
    <xf numFmtId="0" fontId="6" fillId="2" borderId="9" xfId="8" applyFont="1" applyBorder="1"/>
    <xf numFmtId="0" fontId="6" fillId="2" borderId="0" xfId="8" applyFont="1"/>
    <xf numFmtId="0" fontId="6" fillId="0" borderId="9" xfId="8" applyFont="1" applyFill="1" applyBorder="1"/>
    <xf numFmtId="0" fontId="6" fillId="0" borderId="0" xfId="8" applyFont="1" applyFill="1"/>
    <xf numFmtId="37" fontId="7" fillId="2" borderId="29" xfId="9" applyNumberFormat="1" applyFont="1" applyBorder="1"/>
    <xf numFmtId="37" fontId="7" fillId="2" borderId="11" xfId="9" applyNumberFormat="1" applyFont="1" applyBorder="1"/>
    <xf numFmtId="37" fontId="7" fillId="2" borderId="30" xfId="9" applyNumberFormat="1" applyFont="1" applyBorder="1"/>
    <xf numFmtId="37" fontId="4" fillId="0" borderId="0" xfId="9" applyNumberFormat="1" applyFont="1" applyFill="1"/>
    <xf numFmtId="37" fontId="7" fillId="0" borderId="11" xfId="9" applyNumberFormat="1" applyFont="1" applyFill="1" applyBorder="1"/>
    <xf numFmtId="37" fontId="7" fillId="0" borderId="30" xfId="9" applyNumberFormat="1" applyFont="1" applyFill="1" applyBorder="1"/>
    <xf numFmtId="37" fontId="7" fillId="0" borderId="29" xfId="9" applyNumberFormat="1" applyFont="1" applyFill="1" applyBorder="1"/>
    <xf numFmtId="0" fontId="6" fillId="2" borderId="9" xfId="8" applyFont="1" applyBorder="1" applyAlignment="1">
      <alignment horizontal="left"/>
    </xf>
    <xf numFmtId="0" fontId="6" fillId="2" borderId="0" xfId="8" applyFont="1" applyAlignment="1">
      <alignment horizontal="left"/>
    </xf>
    <xf numFmtId="37" fontId="5" fillId="2" borderId="29" xfId="9" applyNumberFormat="1" applyFont="1" applyBorder="1"/>
    <xf numFmtId="0" fontId="6" fillId="2" borderId="9" xfId="9" applyFont="1" applyBorder="1"/>
    <xf numFmtId="0" fontId="6" fillId="2" borderId="0" xfId="9" applyFont="1"/>
    <xf numFmtId="0" fontId="6" fillId="0" borderId="9" xfId="9" applyFont="1" applyFill="1" applyBorder="1"/>
    <xf numFmtId="37" fontId="5" fillId="0" borderId="29" xfId="9" applyNumberFormat="1" applyFont="1" applyFill="1" applyBorder="1"/>
    <xf numFmtId="0" fontId="22" fillId="0" borderId="10" xfId="7" applyBorder="1"/>
    <xf numFmtId="37" fontId="5" fillId="0" borderId="11" xfId="9" applyNumberFormat="1" applyFont="1" applyFill="1" applyBorder="1"/>
    <xf numFmtId="37" fontId="4" fillId="2" borderId="12" xfId="9" applyNumberFormat="1" applyFont="1" applyBorder="1" applyAlignment="1">
      <alignment horizontal="left"/>
    </xf>
    <xf numFmtId="0" fontId="5" fillId="2" borderId="13" xfId="9" applyFont="1" applyBorder="1"/>
    <xf numFmtId="37" fontId="5" fillId="2" borderId="34" xfId="9" applyNumberFormat="1" applyFont="1" applyBorder="1"/>
    <xf numFmtId="37" fontId="5" fillId="2" borderId="0" xfId="9" applyNumberFormat="1" applyFont="1"/>
    <xf numFmtId="167" fontId="7" fillId="2" borderId="5" xfId="9" applyNumberFormat="1" applyFont="1" applyBorder="1" applyAlignment="1">
      <alignment horizontal="right"/>
    </xf>
    <xf numFmtId="37" fontId="7" fillId="2" borderId="0" xfId="10" applyNumberFormat="1" applyFont="1" applyAlignment="1">
      <alignment horizontal="centerContinuous"/>
    </xf>
    <xf numFmtId="37" fontId="4" fillId="2" borderId="10" xfId="10" applyNumberFormat="1" applyFont="1" applyBorder="1" applyAlignment="1">
      <alignment horizontal="center"/>
    </xf>
    <xf numFmtId="0" fontId="15" fillId="0" borderId="0" xfId="10" applyFont="1" applyFill="1" applyAlignment="1">
      <alignment horizontal="center" vertical="center" wrapText="1"/>
    </xf>
    <xf numFmtId="37" fontId="4" fillId="2" borderId="9" xfId="10" applyNumberFormat="1" applyFont="1" applyBorder="1"/>
    <xf numFmtId="37" fontId="4" fillId="2" borderId="14" xfId="10" applyNumberFormat="1" applyFont="1" applyBorder="1"/>
    <xf numFmtId="37" fontId="4" fillId="2" borderId="11" xfId="10" applyNumberFormat="1" applyFont="1" applyBorder="1" applyAlignment="1">
      <alignment horizontal="center"/>
    </xf>
    <xf numFmtId="37" fontId="7" fillId="0" borderId="8" xfId="10" applyNumberFormat="1" applyFont="1" applyFill="1" applyBorder="1"/>
    <xf numFmtId="37" fontId="7" fillId="0" borderId="7" xfId="10" applyNumberFormat="1" applyFont="1" applyFill="1" applyBorder="1"/>
    <xf numFmtId="37" fontId="7" fillId="0" borderId="33" xfId="10" applyNumberFormat="1" applyFont="1" applyFill="1" applyBorder="1"/>
    <xf numFmtId="37" fontId="7" fillId="0" borderId="9" xfId="10" applyNumberFormat="1" applyFont="1" applyFill="1" applyBorder="1"/>
    <xf numFmtId="37" fontId="7" fillId="0" borderId="0" xfId="10" applyNumberFormat="1" applyFont="1" applyFill="1"/>
    <xf numFmtId="37" fontId="7" fillId="0" borderId="26" xfId="10" applyNumberFormat="1" applyFont="1" applyFill="1" applyBorder="1"/>
    <xf numFmtId="37" fontId="7" fillId="2" borderId="35" xfId="10" applyNumberFormat="1" applyFont="1" applyBorder="1"/>
    <xf numFmtId="0" fontId="5" fillId="0" borderId="9" xfId="7" applyFont="1" applyBorder="1"/>
    <xf numFmtId="0" fontId="5" fillId="0" borderId="21" xfId="7" applyFont="1" applyBorder="1"/>
    <xf numFmtId="37" fontId="5" fillId="2" borderId="26" xfId="10" applyNumberFormat="1" applyFont="1" applyBorder="1"/>
    <xf numFmtId="37" fontId="7" fillId="2" borderId="4" xfId="10" applyNumberFormat="1" applyFont="1" applyBorder="1"/>
    <xf numFmtId="37" fontId="7" fillId="2" borderId="10" xfId="10" applyNumberFormat="1" applyFont="1" applyBorder="1"/>
    <xf numFmtId="37" fontId="7" fillId="2" borderId="16" xfId="10" applyNumberFormat="1" applyFont="1" applyBorder="1"/>
    <xf numFmtId="38" fontId="7" fillId="2" borderId="4" xfId="10" applyNumberFormat="1" applyFont="1" applyBorder="1"/>
    <xf numFmtId="38" fontId="7" fillId="2" borderId="10" xfId="10" applyNumberFormat="1" applyFont="1" applyBorder="1"/>
    <xf numFmtId="0" fontId="5" fillId="0" borderId="4" xfId="7" applyFont="1" applyBorder="1"/>
    <xf numFmtId="37" fontId="7" fillId="0" borderId="16" xfId="10" applyNumberFormat="1" applyFont="1" applyFill="1" applyBorder="1"/>
    <xf numFmtId="37" fontId="7" fillId="0" borderId="15" xfId="10" applyNumberFormat="1" applyFont="1" applyFill="1" applyBorder="1"/>
    <xf numFmtId="37" fontId="7" fillId="0" borderId="19" xfId="10" applyNumberFormat="1" applyFont="1" applyFill="1" applyBorder="1" applyAlignment="1">
      <alignment horizontal="left"/>
    </xf>
    <xf numFmtId="0" fontId="22" fillId="0" borderId="7" xfId="7" applyBorder="1"/>
    <xf numFmtId="37" fontId="7" fillId="0" borderId="36" xfId="10" applyNumberFormat="1" applyFont="1" applyFill="1" applyBorder="1"/>
    <xf numFmtId="37" fontId="7" fillId="2" borderId="0" xfId="10" applyNumberFormat="1" applyFont="1"/>
    <xf numFmtId="37" fontId="7" fillId="0" borderId="4" xfId="10" applyNumberFormat="1" applyFont="1" applyFill="1" applyBorder="1"/>
    <xf numFmtId="37" fontId="7" fillId="0" borderId="37" xfId="10" applyNumberFormat="1" applyFont="1" applyFill="1" applyBorder="1"/>
    <xf numFmtId="37" fontId="7" fillId="2" borderId="16" xfId="10" applyNumberFormat="1" applyFont="1" applyBorder="1" applyAlignment="1">
      <alignment horizontal="left"/>
    </xf>
    <xf numFmtId="37" fontId="7" fillId="2" borderId="14" xfId="10" applyNumberFormat="1" applyFont="1" applyBorder="1" applyAlignment="1">
      <alignment horizontal="left"/>
    </xf>
    <xf numFmtId="0" fontId="22" fillId="0" borderId="15" xfId="7" applyBorder="1"/>
    <xf numFmtId="37" fontId="7" fillId="0" borderId="38" xfId="10" applyNumberFormat="1" applyFont="1" applyFill="1" applyBorder="1"/>
    <xf numFmtId="37" fontId="4" fillId="0" borderId="29" xfId="10" applyNumberFormat="1" applyFont="1" applyFill="1" applyBorder="1" applyAlignment="1">
      <alignment horizontal="center" wrapText="1"/>
    </xf>
    <xf numFmtId="37" fontId="4" fillId="0" borderId="29" xfId="10" applyNumberFormat="1" applyFont="1" applyFill="1" applyBorder="1" applyAlignment="1">
      <alignment horizontal="center"/>
    </xf>
    <xf numFmtId="37" fontId="7" fillId="2" borderId="14" xfId="10" applyNumberFormat="1" applyFont="1" applyBorder="1"/>
    <xf numFmtId="37" fontId="7" fillId="2" borderId="15" xfId="10" applyNumberFormat="1" applyFont="1" applyBorder="1"/>
    <xf numFmtId="0" fontId="5" fillId="0" borderId="29" xfId="7" applyFont="1" applyBorder="1"/>
    <xf numFmtId="37" fontId="7" fillId="2" borderId="30" xfId="10" applyNumberFormat="1" applyFont="1" applyBorder="1" applyAlignment="1">
      <alignment horizontal="right"/>
    </xf>
    <xf numFmtId="168" fontId="7" fillId="0" borderId="15" xfId="10" applyNumberFormat="1" applyFont="1" applyFill="1" applyBorder="1" applyAlignment="1">
      <alignment horizontal="center"/>
    </xf>
    <xf numFmtId="37" fontId="7" fillId="2" borderId="14" xfId="10" applyNumberFormat="1" applyFont="1" applyBorder="1" applyAlignment="1">
      <alignment horizontal="right"/>
    </xf>
    <xf numFmtId="37" fontId="7" fillId="2" borderId="4" xfId="10" applyNumberFormat="1" applyFont="1" applyBorder="1" applyAlignment="1">
      <alignment horizontal="left"/>
    </xf>
    <xf numFmtId="37" fontId="7" fillId="2" borderId="0" xfId="10" applyNumberFormat="1" applyFont="1" applyAlignment="1">
      <alignment horizontal="right"/>
    </xf>
    <xf numFmtId="37" fontId="7" fillId="2" borderId="17" xfId="10" applyNumberFormat="1" applyFont="1" applyBorder="1" applyAlignment="1">
      <alignment horizontal="right"/>
    </xf>
    <xf numFmtId="0" fontId="5" fillId="2" borderId="0" xfId="10" applyFont="1" applyAlignment="1">
      <alignment horizontal="right"/>
    </xf>
    <xf numFmtId="0" fontId="5" fillId="2" borderId="10" xfId="10" applyFont="1" applyBorder="1" applyAlignment="1">
      <alignment horizontal="center"/>
    </xf>
    <xf numFmtId="0" fontId="5" fillId="2" borderId="15" xfId="10" applyFont="1" applyBorder="1" applyAlignment="1">
      <alignment horizontal="center"/>
    </xf>
    <xf numFmtId="0" fontId="5" fillId="0" borderId="26" xfId="7" applyFont="1" applyBorder="1"/>
    <xf numFmtId="0" fontId="5" fillId="2" borderId="23" xfId="10" applyFont="1" applyBorder="1" applyAlignment="1">
      <alignment horizontal="right"/>
    </xf>
    <xf numFmtId="168" fontId="7" fillId="2" borderId="18" xfId="10" applyNumberFormat="1" applyFont="1" applyBorder="1" applyAlignment="1">
      <alignment horizontal="center"/>
    </xf>
    <xf numFmtId="37" fontId="7" fillId="2" borderId="22" xfId="10" applyNumberFormat="1" applyFont="1" applyBorder="1" applyAlignment="1">
      <alignment horizontal="left"/>
    </xf>
    <xf numFmtId="0" fontId="5" fillId="2" borderId="2" xfId="10" applyFont="1" applyBorder="1"/>
    <xf numFmtId="168" fontId="7" fillId="2" borderId="13" xfId="10" applyNumberFormat="1" applyFont="1" applyBorder="1" applyAlignment="1">
      <alignment horizontal="center"/>
    </xf>
    <xf numFmtId="37" fontId="4" fillId="2" borderId="4" xfId="9" applyNumberFormat="1" applyFont="1" applyBorder="1" applyAlignment="1">
      <alignment horizontal="center" vertical="center"/>
    </xf>
    <xf numFmtId="37" fontId="4" fillId="2" borderId="16" xfId="9" applyNumberFormat="1" applyFont="1" applyBorder="1" applyAlignment="1">
      <alignment horizontal="center" vertical="center"/>
    </xf>
    <xf numFmtId="0" fontId="22" fillId="0" borderId="0" xfId="7" applyAlignment="1">
      <alignment horizontal="left" vertical="center" wrapText="1"/>
    </xf>
    <xf numFmtId="0" fontId="22" fillId="0" borderId="2" xfId="7" applyBorder="1" applyAlignment="1" applyProtection="1">
      <alignment horizontal="center"/>
      <protection locked="0"/>
    </xf>
    <xf numFmtId="0" fontId="6" fillId="2" borderId="2" xfId="9" applyFont="1" applyBorder="1" applyAlignment="1" applyProtection="1">
      <alignment horizontal="center"/>
      <protection locked="0"/>
    </xf>
    <xf numFmtId="0" fontId="6" fillId="0" borderId="0" xfId="0" applyFont="1" applyAlignment="1">
      <alignment horizontal="left"/>
    </xf>
    <xf numFmtId="49" fontId="5" fillId="2" borderId="2" xfId="9" applyNumberFormat="1" applyFont="1" applyBorder="1" applyAlignment="1">
      <alignment horizontal="center"/>
    </xf>
    <xf numFmtId="0" fontId="5" fillId="0" borderId="2" xfId="7" applyFont="1" applyBorder="1" applyAlignment="1">
      <alignment horizontal="center" wrapText="1"/>
    </xf>
    <xf numFmtId="37" fontId="4" fillId="2" borderId="5" xfId="9" applyNumberFormat="1" applyFont="1" applyBorder="1" applyAlignment="1">
      <alignment horizontal="center"/>
    </xf>
    <xf numFmtId="38" fontId="5" fillId="0" borderId="14" xfId="0" applyNumberFormat="1" applyFont="1" applyBorder="1"/>
    <xf numFmtId="38" fontId="5" fillId="0" borderId="15" xfId="0" applyNumberFormat="1" applyFont="1" applyBorder="1"/>
    <xf numFmtId="38" fontId="5" fillId="0" borderId="17" xfId="0" applyNumberFormat="1" applyFont="1" applyBorder="1"/>
    <xf numFmtId="38" fontId="5" fillId="0" borderId="18" xfId="0" applyNumberFormat="1" applyFont="1" applyBorder="1"/>
    <xf numFmtId="37" fontId="5" fillId="0" borderId="17" xfId="0" applyNumberFormat="1" applyFont="1" applyBorder="1"/>
    <xf numFmtId="37" fontId="5" fillId="0" borderId="18" xfId="0" applyNumberFormat="1" applyFont="1" applyBorder="1"/>
    <xf numFmtId="0" fontId="22" fillId="0" borderId="1" xfId="7" applyBorder="1" applyAlignment="1" applyProtection="1">
      <alignment horizontal="center"/>
      <protection locked="0"/>
    </xf>
    <xf numFmtId="0" fontId="22" fillId="0" borderId="0" xfId="7" applyAlignment="1">
      <alignment vertical="center" wrapText="1"/>
    </xf>
    <xf numFmtId="0" fontId="6" fillId="0" borderId="0" xfId="7" applyFont="1"/>
    <xf numFmtId="0" fontId="5" fillId="2" borderId="2" xfId="9" applyFont="1" applyBorder="1" applyAlignment="1" applyProtection="1">
      <alignment horizontal="center"/>
      <protection locked="0"/>
    </xf>
    <xf numFmtId="0" fontId="22" fillId="0" borderId="0" xfId="7" applyAlignment="1">
      <alignment vertical="top" wrapText="1"/>
    </xf>
    <xf numFmtId="0" fontId="22" fillId="0" borderId="0" xfId="7" applyAlignment="1">
      <alignment horizontal="left"/>
    </xf>
    <xf numFmtId="0" fontId="22" fillId="0" borderId="23" xfId="7" applyBorder="1" applyAlignment="1" applyProtection="1">
      <alignment horizontal="left" vertical="top" wrapText="1"/>
      <protection locked="0"/>
    </xf>
    <xf numFmtId="0" fontId="22" fillId="0" borderId="1" xfId="7" applyBorder="1" applyAlignment="1" applyProtection="1">
      <alignment horizontal="left" vertical="top" wrapText="1"/>
      <protection locked="0"/>
    </xf>
    <xf numFmtId="0" fontId="22" fillId="0" borderId="39" xfId="7" applyBorder="1" applyAlignment="1" applyProtection="1">
      <alignment horizontal="left" vertical="top" wrapText="1"/>
      <protection locked="0"/>
    </xf>
    <xf numFmtId="37" fontId="4" fillId="2" borderId="0" xfId="9" applyNumberFormat="1" applyFont="1" applyAlignment="1">
      <alignment horizontal="center"/>
    </xf>
    <xf numFmtId="0" fontId="22" fillId="0" borderId="2" xfId="7" applyBorder="1" applyAlignment="1" applyProtection="1">
      <alignment horizontal="left"/>
      <protection locked="0"/>
    </xf>
    <xf numFmtId="0" fontId="22" fillId="0" borderId="1" xfId="7" applyBorder="1" applyAlignment="1" applyProtection="1">
      <alignment horizontal="left"/>
      <protection locked="0"/>
    </xf>
    <xf numFmtId="14" fontId="22" fillId="0" borderId="2" xfId="7" applyNumberFormat="1" applyBorder="1" applyAlignment="1" applyProtection="1">
      <alignment horizontal="center"/>
      <protection locked="0"/>
    </xf>
    <xf numFmtId="164" fontId="22" fillId="0" borderId="2" xfId="7" applyNumberFormat="1" applyBorder="1" applyAlignment="1" applyProtection="1">
      <alignment horizontal="center"/>
      <protection locked="0"/>
    </xf>
    <xf numFmtId="0" fontId="22" fillId="0" borderId="0" xfId="7" applyAlignment="1">
      <alignment horizontal="center"/>
    </xf>
    <xf numFmtId="0" fontId="6" fillId="0" borderId="2" xfId="9" applyFont="1" applyFill="1" applyBorder="1" applyAlignment="1" applyProtection="1">
      <alignment horizontal="center"/>
      <protection locked="0"/>
    </xf>
    <xf numFmtId="37" fontId="7" fillId="2" borderId="33" xfId="9" applyNumberFormat="1" applyFont="1" applyBorder="1"/>
    <xf numFmtId="0" fontId="10" fillId="2" borderId="11" xfId="7" applyFont="1" applyFill="1" applyBorder="1"/>
    <xf numFmtId="37" fontId="7" fillId="0" borderId="33" xfId="9" applyNumberFormat="1" applyFont="1" applyFill="1" applyBorder="1"/>
    <xf numFmtId="0" fontId="22" fillId="0" borderId="11" xfId="7" applyBorder="1"/>
    <xf numFmtId="37" fontId="7" fillId="2" borderId="30" xfId="9" applyNumberFormat="1" applyFont="1" applyBorder="1"/>
    <xf numFmtId="37" fontId="7" fillId="2" borderId="18" xfId="9" applyNumberFormat="1" applyFont="1" applyBorder="1"/>
    <xf numFmtId="37" fontId="7" fillId="2" borderId="8" xfId="9" applyNumberFormat="1" applyFont="1" applyBorder="1"/>
    <xf numFmtId="37" fontId="7" fillId="2" borderId="7" xfId="9" applyNumberFormat="1" applyFont="1" applyBorder="1"/>
    <xf numFmtId="37" fontId="7" fillId="2" borderId="16" xfId="9" applyNumberFormat="1" applyFont="1" applyBorder="1"/>
    <xf numFmtId="37" fontId="7" fillId="2" borderId="15" xfId="9" applyNumberFormat="1" applyFont="1" applyBorder="1"/>
    <xf numFmtId="166" fontId="7" fillId="2" borderId="40" xfId="9" applyNumberFormat="1" applyFont="1" applyBorder="1"/>
    <xf numFmtId="166" fontId="7" fillId="2" borderId="41" xfId="9" applyNumberFormat="1" applyFont="1" applyBorder="1"/>
    <xf numFmtId="166" fontId="7" fillId="2" borderId="42" xfId="9" applyNumberFormat="1" applyFont="1" applyBorder="1"/>
    <xf numFmtId="37" fontId="7" fillId="2" borderId="11" xfId="9" applyNumberFormat="1" applyFont="1" applyBorder="1"/>
    <xf numFmtId="0" fontId="6" fillId="2" borderId="30" xfId="10" applyFont="1" applyBorder="1" applyAlignment="1">
      <alignment horizontal="center"/>
    </xf>
    <xf numFmtId="0" fontId="6" fillId="2" borderId="17" xfId="10" applyFont="1" applyBorder="1" applyAlignment="1">
      <alignment horizontal="center"/>
    </xf>
    <xf numFmtId="0" fontId="6" fillId="2" borderId="18" xfId="10" applyFont="1" applyBorder="1" applyAlignment="1">
      <alignment horizontal="center"/>
    </xf>
    <xf numFmtId="37" fontId="4" fillId="2" borderId="8" xfId="9" applyNumberFormat="1" applyFont="1" applyBorder="1" applyAlignment="1">
      <alignment horizontal="center"/>
    </xf>
    <xf numFmtId="37" fontId="4" fillId="2" borderId="7" xfId="9" applyNumberFormat="1" applyFont="1" applyBorder="1" applyAlignment="1">
      <alignment horizontal="center"/>
    </xf>
    <xf numFmtId="167" fontId="7" fillId="0" borderId="30" xfId="10" applyNumberFormat="1" applyFont="1" applyFill="1" applyBorder="1"/>
    <xf numFmtId="167" fontId="7" fillId="0" borderId="18" xfId="10" applyNumberFormat="1" applyFont="1" applyFill="1" applyBorder="1"/>
    <xf numFmtId="37" fontId="11" fillId="2" borderId="0" xfId="9" applyNumberFormat="1" applyFont="1" applyAlignment="1">
      <alignment horizontal="left" vertical="center"/>
    </xf>
    <xf numFmtId="0" fontId="22" fillId="0" borderId="0" xfId="7"/>
    <xf numFmtId="37" fontId="11" fillId="2" borderId="2" xfId="9" applyNumberFormat="1" applyFont="1" applyBorder="1" applyAlignment="1">
      <alignment horizontal="left" vertical="center"/>
    </xf>
    <xf numFmtId="0" fontId="22" fillId="0" borderId="2" xfId="7" applyBorder="1"/>
    <xf numFmtId="37" fontId="5" fillId="0" borderId="33" xfId="9" applyNumberFormat="1" applyFont="1" applyFill="1" applyBorder="1"/>
    <xf numFmtId="37" fontId="5" fillId="0" borderId="11" xfId="9" applyNumberFormat="1" applyFont="1" applyFill="1" applyBorder="1"/>
    <xf numFmtId="37" fontId="4" fillId="2" borderId="9" xfId="9" applyNumberFormat="1" applyFont="1" applyBorder="1" applyAlignment="1">
      <alignment horizontal="left" vertical="center" wrapText="1"/>
    </xf>
    <xf numFmtId="37" fontId="4" fillId="2" borderId="0" xfId="9" applyNumberFormat="1" applyFont="1" applyAlignment="1">
      <alignment horizontal="left" vertical="center" wrapText="1"/>
    </xf>
    <xf numFmtId="37" fontId="4" fillId="2" borderId="10" xfId="9" applyNumberFormat="1" applyFont="1" applyBorder="1" applyAlignment="1">
      <alignment horizontal="left" vertical="center" wrapText="1"/>
    </xf>
    <xf numFmtId="166" fontId="7" fillId="2" borderId="24" xfId="9" applyNumberFormat="1" applyFont="1" applyBorder="1"/>
    <xf numFmtId="166" fontId="7" fillId="2" borderId="43" xfId="9" applyNumberFormat="1" applyFont="1" applyBorder="1"/>
    <xf numFmtId="166" fontId="7" fillId="2" borderId="44" xfId="9" applyNumberFormat="1" applyFont="1" applyBorder="1"/>
    <xf numFmtId="166" fontId="7" fillId="2" borderId="45" xfId="9" applyNumberFormat="1" applyFont="1" applyBorder="1"/>
    <xf numFmtId="166" fontId="7" fillId="2" borderId="25" xfId="9" applyNumberFormat="1" applyFont="1" applyBorder="1"/>
    <xf numFmtId="166" fontId="7" fillId="2" borderId="46" xfId="9" applyNumberFormat="1" applyFont="1" applyBorder="1"/>
    <xf numFmtId="0" fontId="5" fillId="2" borderId="4" xfId="9" applyFont="1" applyBorder="1" applyAlignment="1">
      <alignment horizontal="left" wrapText="1"/>
    </xf>
    <xf numFmtId="0" fontId="5" fillId="2" borderId="0" xfId="9" applyFont="1" applyAlignment="1">
      <alignment horizontal="left" wrapText="1"/>
    </xf>
    <xf numFmtId="0" fontId="5" fillId="2" borderId="10" xfId="9" applyFont="1" applyBorder="1" applyAlignment="1">
      <alignment horizontal="left" wrapText="1"/>
    </xf>
    <xf numFmtId="0" fontId="5" fillId="2" borderId="16" xfId="9" applyFont="1" applyBorder="1" applyAlignment="1">
      <alignment horizontal="left" wrapText="1"/>
    </xf>
    <xf numFmtId="0" fontId="5" fillId="2" borderId="14" xfId="9" applyFont="1" applyBorder="1" applyAlignment="1">
      <alignment horizontal="left" wrapText="1"/>
    </xf>
    <xf numFmtId="0" fontId="5" fillId="2" borderId="15" xfId="9" applyFont="1" applyBorder="1" applyAlignment="1">
      <alignment horizontal="left" wrapText="1"/>
    </xf>
    <xf numFmtId="0" fontId="5" fillId="0" borderId="3" xfId="7" applyFont="1" applyBorder="1" applyAlignment="1">
      <alignment horizontal="left" vertical="top" wrapText="1"/>
    </xf>
    <xf numFmtId="0" fontId="5" fillId="0" borderId="5" xfId="7" applyFont="1" applyBorder="1" applyAlignment="1">
      <alignment horizontal="left" vertical="top" wrapText="1"/>
    </xf>
    <xf numFmtId="0" fontId="5" fillId="0" borderId="27" xfId="7" applyFont="1" applyBorder="1" applyAlignment="1">
      <alignment horizontal="left" vertical="top" wrapText="1"/>
    </xf>
    <xf numFmtId="0" fontId="5" fillId="0" borderId="9" xfId="7" applyFont="1" applyBorder="1" applyAlignment="1">
      <alignment horizontal="left" vertical="top" wrapText="1"/>
    </xf>
    <xf numFmtId="0" fontId="5" fillId="0" borderId="0" xfId="7" applyFont="1" applyAlignment="1">
      <alignment horizontal="left" vertical="top" wrapText="1"/>
    </xf>
    <xf numFmtId="0" fontId="5" fillId="0" borderId="21" xfId="7" applyFont="1" applyBorder="1" applyAlignment="1">
      <alignment horizontal="left" vertical="top" wrapText="1"/>
    </xf>
    <xf numFmtId="0" fontId="5" fillId="0" borderId="12" xfId="7" applyFont="1" applyBorder="1" applyAlignment="1">
      <alignment horizontal="left" vertical="top" wrapText="1"/>
    </xf>
    <xf numFmtId="0" fontId="5" fillId="0" borderId="2" xfId="7" applyFont="1" applyBorder="1" applyAlignment="1">
      <alignment horizontal="left" vertical="top" wrapText="1"/>
    </xf>
    <xf numFmtId="0" fontId="5" fillId="0" borderId="28" xfId="7" applyFont="1" applyBorder="1" applyAlignment="1">
      <alignment horizontal="left" vertical="top" wrapText="1"/>
    </xf>
    <xf numFmtId="167" fontId="7" fillId="2" borderId="30" xfId="9" applyNumberFormat="1" applyFont="1" applyBorder="1" applyAlignment="1">
      <alignment horizontal="right"/>
    </xf>
    <xf numFmtId="167" fontId="7" fillId="2" borderId="47" xfId="9" applyNumberFormat="1" applyFont="1" applyBorder="1" applyAlignment="1">
      <alignment horizontal="right"/>
    </xf>
    <xf numFmtId="167" fontId="7" fillId="2" borderId="8" xfId="9" applyNumberFormat="1" applyFont="1" applyBorder="1" applyAlignment="1">
      <alignment horizontal="right"/>
    </xf>
    <xf numFmtId="167" fontId="7" fillId="2" borderId="48" xfId="9" applyNumberFormat="1" applyFont="1" applyBorder="1" applyAlignment="1">
      <alignment horizontal="right"/>
    </xf>
    <xf numFmtId="167" fontId="7" fillId="2" borderId="16" xfId="9" applyNumberFormat="1" applyFont="1" applyBorder="1" applyAlignment="1">
      <alignment horizontal="right"/>
    </xf>
    <xf numFmtId="167" fontId="7" fillId="2" borderId="49" xfId="9" applyNumberFormat="1" applyFont="1" applyBorder="1" applyAlignment="1">
      <alignment horizontal="right"/>
    </xf>
    <xf numFmtId="37" fontId="7" fillId="0" borderId="30" xfId="9" applyNumberFormat="1" applyFont="1" applyFill="1" applyBorder="1"/>
    <xf numFmtId="37" fontId="7" fillId="0" borderId="18" xfId="9" applyNumberFormat="1" applyFont="1" applyFill="1" applyBorder="1"/>
    <xf numFmtId="167" fontId="7" fillId="2" borderId="30" xfId="10" applyNumberFormat="1" applyFont="1" applyBorder="1"/>
    <xf numFmtId="167" fontId="7" fillId="2" borderId="18" xfId="10" applyNumberFormat="1" applyFont="1" applyBorder="1"/>
    <xf numFmtId="9" fontId="5" fillId="0" borderId="17" xfId="1" applyFont="1" applyFill="1" applyBorder="1" applyProtection="1"/>
    <xf numFmtId="9" fontId="5" fillId="0" borderId="18" xfId="1" applyFont="1" applyFill="1" applyBorder="1" applyProtection="1"/>
    <xf numFmtId="0" fontId="6" fillId="0" borderId="2" xfId="7" applyFont="1" applyBorder="1" applyAlignment="1" applyProtection="1">
      <alignment horizontal="center"/>
      <protection locked="0"/>
    </xf>
    <xf numFmtId="167" fontId="7" fillId="2" borderId="18" xfId="9" applyNumberFormat="1" applyFont="1" applyBorder="1" applyAlignment="1">
      <alignment horizontal="right"/>
    </xf>
    <xf numFmtId="37" fontId="4" fillId="2" borderId="48" xfId="9" applyNumberFormat="1" applyFont="1" applyBorder="1" applyAlignment="1">
      <alignment horizontal="center"/>
    </xf>
    <xf numFmtId="37" fontId="4" fillId="2" borderId="4" xfId="9" applyNumberFormat="1" applyFont="1" applyBorder="1" applyAlignment="1">
      <alignment horizontal="center"/>
    </xf>
    <xf numFmtId="37" fontId="4" fillId="2" borderId="21" xfId="9" applyNumberFormat="1" applyFont="1" applyBorder="1" applyAlignment="1">
      <alignment horizontal="center"/>
    </xf>
    <xf numFmtId="37" fontId="4" fillId="2" borderId="16" xfId="9" applyNumberFormat="1" applyFont="1" applyBorder="1" applyAlignment="1">
      <alignment horizontal="center"/>
    </xf>
    <xf numFmtId="37" fontId="4" fillId="2" borderId="49" xfId="9" applyNumberFormat="1" applyFont="1" applyBorder="1" applyAlignment="1">
      <alignment horizontal="center"/>
    </xf>
    <xf numFmtId="167" fontId="7" fillId="2" borderId="7" xfId="9" applyNumberFormat="1" applyFont="1" applyBorder="1" applyAlignment="1">
      <alignment horizontal="right"/>
    </xf>
    <xf numFmtId="167" fontId="7" fillId="2" borderId="15" xfId="9" applyNumberFormat="1" applyFont="1" applyBorder="1" applyAlignment="1">
      <alignment horizontal="right"/>
    </xf>
    <xf numFmtId="37" fontId="4" fillId="2" borderId="16" xfId="9" applyNumberFormat="1" applyFont="1" applyBorder="1"/>
    <xf numFmtId="37" fontId="4" fillId="2" borderId="15" xfId="9" applyNumberFormat="1" applyFont="1" applyBorder="1"/>
    <xf numFmtId="37" fontId="5" fillId="2" borderId="30" xfId="9" applyNumberFormat="1" applyFont="1" applyBorder="1"/>
    <xf numFmtId="37" fontId="5" fillId="2" borderId="18" xfId="9" applyNumberFormat="1" applyFont="1" applyBorder="1"/>
    <xf numFmtId="37" fontId="4" fillId="2" borderId="10" xfId="10" applyNumberFormat="1" applyFont="1" applyBorder="1" applyAlignment="1">
      <alignment horizontal="center"/>
    </xf>
    <xf numFmtId="167" fontId="7" fillId="0" borderId="30" xfId="9" applyNumberFormat="1" applyFont="1" applyFill="1" applyBorder="1" applyAlignment="1">
      <alignment horizontal="right"/>
    </xf>
    <xf numFmtId="167" fontId="7" fillId="0" borderId="47" xfId="9" applyNumberFormat="1" applyFont="1" applyFill="1" applyBorder="1" applyAlignment="1">
      <alignment horizontal="right"/>
    </xf>
    <xf numFmtId="167" fontId="7" fillId="2" borderId="50" xfId="9" applyNumberFormat="1" applyFont="1" applyBorder="1" applyAlignment="1">
      <alignment horizontal="right"/>
    </xf>
    <xf numFmtId="167" fontId="7" fillId="2" borderId="51" xfId="9" applyNumberFormat="1" applyFont="1" applyBorder="1" applyAlignment="1">
      <alignment horizontal="right"/>
    </xf>
    <xf numFmtId="37" fontId="4" fillId="2" borderId="15" xfId="10" applyNumberFormat="1" applyFont="1" applyBorder="1" applyAlignment="1">
      <alignment horizontal="center"/>
    </xf>
    <xf numFmtId="37" fontId="5" fillId="2" borderId="50" xfId="9" applyNumberFormat="1" applyFont="1" applyBorder="1"/>
    <xf numFmtId="37" fontId="5" fillId="2" borderId="52" xfId="9" applyNumberFormat="1" applyFont="1" applyBorder="1"/>
    <xf numFmtId="0" fontId="0" fillId="0" borderId="0" xfId="0"/>
    <xf numFmtId="37" fontId="7" fillId="2" borderId="26" xfId="10" applyNumberFormat="1" applyFont="1" applyBorder="1" applyAlignment="1">
      <alignment horizontal="right"/>
    </xf>
    <xf numFmtId="37" fontId="7" fillId="2" borderId="29" xfId="10" applyNumberFormat="1" applyFont="1" applyBorder="1" applyAlignment="1">
      <alignment horizontal="right"/>
    </xf>
    <xf numFmtId="37" fontId="4" fillId="2" borderId="30" xfId="10" applyNumberFormat="1" applyFont="1" applyBorder="1" applyAlignment="1">
      <alignment horizontal="center"/>
    </xf>
    <xf numFmtId="37" fontId="4" fillId="2" borderId="17" xfId="10" applyNumberFormat="1" applyFont="1" applyBorder="1" applyAlignment="1">
      <alignment horizontal="center"/>
    </xf>
    <xf numFmtId="37" fontId="4" fillId="2" borderId="18" xfId="10" applyNumberFormat="1" applyFont="1" applyBorder="1" applyAlignment="1">
      <alignment horizontal="center"/>
    </xf>
    <xf numFmtId="37" fontId="4" fillId="0" borderId="29" xfId="10" applyNumberFormat="1" applyFont="1" applyFill="1" applyBorder="1" applyAlignment="1">
      <alignment horizontal="center"/>
    </xf>
    <xf numFmtId="37" fontId="4" fillId="2" borderId="29" xfId="10" applyNumberFormat="1" applyFont="1" applyBorder="1" applyAlignment="1">
      <alignment horizontal="center"/>
    </xf>
    <xf numFmtId="37" fontId="4" fillId="2" borderId="53" xfId="10" applyNumberFormat="1" applyFont="1" applyBorder="1" applyAlignment="1">
      <alignment horizontal="center"/>
    </xf>
    <xf numFmtId="37" fontId="4" fillId="2" borderId="32" xfId="10" applyNumberFormat="1" applyFont="1" applyBorder="1" applyAlignment="1">
      <alignment horizontal="center"/>
    </xf>
    <xf numFmtId="37" fontId="4" fillId="2" borderId="54" xfId="10" applyNumberFormat="1" applyFont="1" applyBorder="1" applyAlignment="1">
      <alignment horizontal="center"/>
    </xf>
    <xf numFmtId="37" fontId="4" fillId="2" borderId="23" xfId="10" applyNumberFormat="1" applyFont="1" applyBorder="1" applyAlignment="1">
      <alignment horizontal="center"/>
    </xf>
    <xf numFmtId="37" fontId="4" fillId="2" borderId="1" xfId="10" applyNumberFormat="1" applyFont="1" applyBorder="1" applyAlignment="1">
      <alignment horizontal="center"/>
    </xf>
    <xf numFmtId="37" fontId="4" fillId="2" borderId="39" xfId="10" applyNumberFormat="1" applyFont="1" applyBorder="1" applyAlignment="1">
      <alignment horizontal="center"/>
    </xf>
    <xf numFmtId="49" fontId="6" fillId="0" borderId="2" xfId="9" applyNumberFormat="1" applyFont="1" applyFill="1" applyBorder="1" applyAlignment="1" applyProtection="1">
      <alignment horizontal="center"/>
      <protection locked="0"/>
    </xf>
    <xf numFmtId="0" fontId="0" fillId="0" borderId="2" xfId="7" applyFont="1" applyBorder="1" applyAlignment="1" applyProtection="1">
      <alignment horizontal="left"/>
      <protection locked="0"/>
    </xf>
    <xf numFmtId="0" fontId="0" fillId="0" borderId="2" xfId="7" applyFont="1" applyBorder="1" applyAlignment="1" applyProtection="1">
      <alignment horizontal="center"/>
      <protection locked="0"/>
    </xf>
    <xf numFmtId="0" fontId="0" fillId="0" borderId="1" xfId="7" applyFont="1" applyBorder="1" applyAlignment="1" applyProtection="1">
      <alignment horizontal="left"/>
      <protection locked="0"/>
    </xf>
    <xf numFmtId="0" fontId="0" fillId="0" borderId="1" xfId="7" applyFont="1" applyBorder="1" applyAlignment="1" applyProtection="1">
      <alignment horizontal="center"/>
      <protection locked="0"/>
    </xf>
  </cellXfs>
  <cellStyles count="11">
    <cellStyle name="Comma" xfId="4"/>
    <cellStyle name="Comma [0]" xfId="5"/>
    <cellStyle name="Currency" xfId="2"/>
    <cellStyle name="Currency [0]" xfId="3"/>
    <cellStyle name="Hyperlink" xfId="6"/>
    <cellStyle name="Normal" xfId="0" builtinId="0"/>
    <cellStyle name="Normal 2" xfId="7"/>
    <cellStyle name="Normal_98-99Smry" xfId="8"/>
    <cellStyle name="Normal_Summary Page 1" xfId="9"/>
    <cellStyle name="Normal_Summary Page 2" xfId="10"/>
    <cellStyle name="Percent"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13" Type="http://schemas.openxmlformats.org/officeDocument/2006/relationships/customXml" Target="../customXml/item6.xml"/><Relationship Id="rId3" Type="http://schemas.openxmlformats.org/officeDocument/2006/relationships/externalLink" Target="externalLinks/externalLink2.xml"/><Relationship Id="rId7" Type="http://schemas.openxmlformats.org/officeDocument/2006/relationships/calcChain" Target="calcChain.xml"/><Relationship Id="rId12" Type="http://schemas.openxmlformats.org/officeDocument/2006/relationships/customXml" Target="../customXml/item5.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24EXPBUD.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23EXPBUD.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District Contacts"/>
      <sheetName val="Page 1"/>
      <sheetName val="Page 2"/>
      <sheetName val="Page 3"/>
      <sheetName val="Page 4"/>
      <sheetName val="Page 5"/>
      <sheetName val="Page 6"/>
      <sheetName val="Page 7"/>
      <sheetName val="Page 8"/>
      <sheetName val="Supplement"/>
      <sheetName val="Summary Page 1"/>
      <sheetName val="Summary Page 2"/>
      <sheetName val="Truth in Tax"/>
      <sheetName val="Data Entry"/>
      <sheetName val="Calculations"/>
      <sheetName val="BSA55"/>
      <sheetName val="Instructions"/>
    </sheetNames>
    <definedNames>
      <definedName name="BudgetYearADM" refersTo="='Summary Page 1'!$D$12"/>
      <definedName name="BudgetYearSalarySumm" refersTo="='Summary Page 1'!$I$10"/>
      <definedName name="ContractFTEAdmin" refersTo="='Summary Page 2'!$D$38"/>
      <definedName name="ContractFTECertOther" refersTo="='Summary Page 2'!$D$40"/>
      <definedName name="ContractFTECertSubtotal" refersTo="='Summary Page 2'!$D$41"/>
      <definedName name="ContractFTEClassOther" refersTo="='Summary Page 2'!$D$45"/>
      <definedName name="ContractFTEClassSubtotal" refersTo="='Summary Page 2'!$D$46"/>
      <definedName name="ContractFTEManagers" refersTo="='Summary Page 2'!$D$43"/>
      <definedName name="ContractFTESpecEdStaff" refersTo="='Summary Page 2'!$D$51"/>
      <definedName name="ContractFTESpecEdTeacher" refersTo="='Summary Page 2'!$D$50"/>
      <definedName name="ContractFTETeachers" refersTo="='Summary Page 2'!$D$39"/>
      <definedName name="ContractFTETeachersAids" refersTo="='Summary Page 2'!$D$44"/>
      <definedName name="ContractFTETotal" refersTo="='Summary Page 2'!$D$47"/>
      <definedName name="CSFBLBudgFYSumm" refersTo="='Summary Page 1'!$D$23"/>
      <definedName name="CSFExpBudgFYSumm" refersTo="='Summary Page 1'!$C$23"/>
      <definedName name="EmployeeFTEAdmin" refersTo="='Summary Page 2'!$E$38"/>
      <definedName name="EmployeeFTECertOther" refersTo="='Summary Page 2'!$E$40"/>
      <definedName name="EmployeeFTECertSubtotal" refersTo="='Summary Page 2'!$E$41"/>
      <definedName name="EmployeeFTEClassOther" refersTo="='Summary Page 2'!$E$45"/>
      <definedName name="EmployeeFTEClassSubtotal" refersTo="='Summary Page 2'!$E$46"/>
      <definedName name="EmployeeFTEManagers" refersTo="='Summary Page 2'!$E$43"/>
      <definedName name="EmployeeFTESpecEdStaff" refersTo="='Summary Page 2'!$E$51"/>
      <definedName name="EmployeeFTESpecEdTeacher" refersTo="='Summary Page 2'!$E$50"/>
      <definedName name="EmployeeFTETeachers" refersTo="='Summary Page 2'!$E$39"/>
      <definedName name="EmployeeFTETeachersAides" refersTo="='Summary Page 2'!$E$44"/>
      <definedName name="EmployeeFTETotal" refersTo="='Summary Page 2'!$E$47"/>
      <definedName name="EstTaxRateBudgFYSumm" refersTo="='Summary Page 1'!$D$14"/>
      <definedName name="F001P100F1000OthBudgFY" refersTo="='Summary Page 1'!$F$32"/>
      <definedName name="F001P100F1000SBBudgFY" refersTo="='Summary Page 1'!$D$32"/>
      <definedName name="F001P100F2100OthBudgFY" refersTo="='Summary Page 1'!$F$34"/>
      <definedName name="F001P100F2100SBBudgFY" refersTo="='Summary Page 1'!$D$34"/>
      <definedName name="F001P100F2200OthBudgFY" refersTo="='Summary Page 1'!$F$36"/>
      <definedName name="F001P100F2200SBBudgFY" refersTo="='Summary Page 1'!$D$36"/>
      <definedName name="F001P100F230024002500OthBudgFY" refersTo="='Summary Page 1'!$F$37"/>
      <definedName name="F001P100F230024002500SBBudgFY" refersTo="='Summary Page 1'!$D$37"/>
      <definedName name="F001P100F2600OthBudgFY" refersTo="='Summary Page 1'!$F$38"/>
      <definedName name="F001P100F2600SBBudgFY" refersTo="='Summary Page 1'!$D$38"/>
      <definedName name="F001P100F2900OthBudgFY" refersTo="='Summary Page 1'!$F$39"/>
      <definedName name="F001P100F2900SBBudgFY" refersTo="='Summary Page 1'!$D$39"/>
      <definedName name="F001P100F3000OthBudgFY" refersTo="='Summary Page 1'!$F$40"/>
      <definedName name="F001P100F3000SBBudgFY" refersTo="='Summary Page 1'!$D$40"/>
      <definedName name="F001P200F1000OthBudgFY" refersTo="='Summary Page 1'!$F$45"/>
      <definedName name="F001P200F1000SBBudgFY" refersTo="='Summary Page 1'!$D$45"/>
      <definedName name="F001P200F2100OthBudgFY" refersTo="='Summary Page 1'!$F$47"/>
      <definedName name="F001P200F2100SBBudgFY" refersTo="='Summary Page 1'!$D$47"/>
      <definedName name="F001P200F2200OthBudgFY" refersTo="='Summary Page 1'!$F$49"/>
      <definedName name="F001P200F2200SBBudgFY" refersTo="='Summary Page 1'!$D$49"/>
      <definedName name="F001P200F230024002500OthBudgFY" refersTo="='Summary Page 1'!$F$50"/>
      <definedName name="F001P200F230024002500SBBudgFY" refersTo="='Summary Page 1'!$D$50"/>
      <definedName name="F001P200F2600OthBudgFY" refersTo="='Summary Page 1'!$F$51"/>
      <definedName name="F001P200F2600SBBudgFY" refersTo="='Summary Page 1'!$D$51"/>
      <definedName name="F001P200F2900OthBudgFY" refersTo="='Summary Page 1'!$F$52"/>
      <definedName name="F001P200F2900SBBudgFY" refersTo="='Summary Page 1'!$D$52"/>
      <definedName name="F001P200F3000OthBudgFY" refersTo="='Summary Page 1'!$F$53"/>
      <definedName name="F001P200F3000SBBudgFY" refersTo="='Summary Page 1'!$D$53"/>
      <definedName name="F001P400OthBudgFy" refersTo="='Summary Page 1'!$F$55"/>
      <definedName name="F001P400SBBudgFY" refersTo="='Summary Page 1'!$D$55"/>
      <definedName name="F001P510OthBudgFY" refersTo="='Summary Page 1'!$F$56"/>
      <definedName name="F001P510SBBudgFY" refersTo="='Summary Page 1'!$D$56"/>
      <definedName name="F001P530OthBudgFY" refersTo="='Summary Page 1'!$F$57"/>
      <definedName name="F001P530SBBudgFY" refersTo="='Summary Page 1'!$D$57"/>
      <definedName name="F001P540OthBudgFY" refersTo="='Summary Page 1'!$F$58"/>
      <definedName name="F001P540SBBudgFY" refersTo="='Summary Page 1'!$D$58"/>
      <definedName name="F001P550OthBudgFY" refersTo="='Summary Page 1'!$F$60"/>
      <definedName name="F001P550SBBudgFY" refersTo="='Summary Page 1'!$D$60"/>
      <definedName name="F001P610OthBudgFY" refersTo="='Summary Page 1'!$F$41"/>
      <definedName name="F001P610SBBudgFY" refersTo="='Summary Page 1'!$D$41"/>
      <definedName name="F001P620OthBudgFY" refersTo="='Summary Page 1'!$F$42"/>
      <definedName name="F001P620SBBudgFY" refersTo="='Summary Page 1'!$D$42"/>
      <definedName name="F001P630700800900OthBudgFY" refersTo="='Summary Page 1'!$F$43"/>
      <definedName name="F001P630700800900SBBudgFY" refersTo="='Summary Page 1'!$D$43"/>
      <definedName name="F001TotalExpSumm" refersTo="='Summary Page 1'!$C$22"/>
      <definedName name="GBLBudgFYSumm" refersTo="='Summary Page 1'!$D$22"/>
      <definedName name="PercentageIncreaseSumm" refersTo="='Summary Page 1'!$I$13"/>
      <definedName name="PrimTaxRatePYSumm" refersTo="='Summary Page 1'!$C$14"/>
      <definedName name="PriorYearADM" refersTo="='Summary Page 1'!$C$12"/>
      <definedName name="PriorYearSalarySumm" refersTo="='Summary Page 1'!$I$11"/>
      <definedName name="RatioAdmin" refersTo="='Summary Page 2'!$H$38"/>
      <definedName name="RatioCertOther" refersTo="='Summary Page 2'!$H$40"/>
      <definedName name="RatioCertSubtotal" refersTo="='Summary Page 2'!$H$41"/>
      <definedName name="RatioClassOther" refersTo="='Summary Page 2'!$H$45"/>
      <definedName name="RatioClassSubtotal" refersTo="='Summary Page 2'!$H$46"/>
      <definedName name="RatioManagers" refersTo="='Summary Page 2'!$H$43"/>
      <definedName name="RatioTeachers" refersTo="='Summary Page 2'!$H$39"/>
      <definedName name="RatioTeachersAides" refersTo="='Summary Page 2'!$H$44"/>
      <definedName name="RatioTotal" refersTo="='Summary Page 2'!$H$47"/>
      <definedName name="SalaryCommentsSumm" refersTo="='Summary Page 1'!$E$15"/>
      <definedName name="SalaryIncreaseSumm" refersTo="='Summary Page 1'!$I$12"/>
      <definedName name="SecTaxRateBudgFYSumm" refersTo="='Summary Page 1'!$D$17"/>
      <definedName name="SecTaxRatePYSumm" refersTo="='Summary Page 1'!$C$17"/>
      <definedName name="SPEDELLCompInstrCurrFY" refersTo="='Page 2'!$F$11"/>
      <definedName name="SPEDStaff" refersTo="='Summary Page 2'!$H$51"/>
      <definedName name="SPEDTeacher" refersTo="='Summary Page 2'!$H$50"/>
      <definedName name="SumDebtServiceBY" refersTo="='Summary Page 2'!$D$16"/>
      <definedName name="SummAdjacentWaysBY" refersTo="='Summary Page 2'!$D$15"/>
      <definedName name="SummAllDisabilityBY" refersTo="='Summary Page 2'!$E$25"/>
      <definedName name="SummAllDisabilityPY" refersTo="='Summary Page 2'!$D$25"/>
      <definedName name="SummAuxOpsBY" refersTo="='Summary Page 2'!$D$18"/>
      <definedName name="SummBondBuildingBY" refersTo="='Summary Page 2'!$D$19"/>
      <definedName name="SummCareerEdBY" refersTo="='Summary Page 2'!$E$31"/>
      <definedName name="SummCareerEdPY" refersTo="='Summary Page 2'!$D$31"/>
      <definedName name="SummCompInstrBY" refersTo="='Summary Page 2'!$D$9"/>
      <definedName name="SummCSFBY" refersTo="='Summary Page 2'!$D$10"/>
      <definedName name="SummCTEDBY" refersTo="='Summary Page 2'!$E$32"/>
      <definedName name="SummCTEDPY" refersTo="='Summary Page 2'!$D$32"/>
      <definedName name="SummELLBY" refersTo="='Summary Page 2'!$D$8"/>
      <definedName name="SummELLCompInstBY" refersTo="='Summary Page 2'!$E$29"/>
      <definedName name="SummELLIncrementalBY" refersTo="='Summary Page 2'!$E$28"/>
      <definedName name="SummELLIncrementalPY" refersTo="='Summary Page 2'!$D$28"/>
      <definedName name="SummFedProjectsBY" refersTo="='Summary Page 2'!$D$11"/>
      <definedName name="SummFoodServiceBY" refersTo="='Summary Page 2'!$D$20"/>
      <definedName name="SummGiftedBY" refersTo="='Summary Page 2'!$E$26"/>
      <definedName name="SummGiftedPY" refersTo="='Summary Page 2'!$D$26"/>
      <definedName name="SummInstImprovBY" refersTo="='Summary Page 2'!$D$7"/>
      <definedName name="SummMOBY" refersTo="='Summary Page 2'!$D$6"/>
      <definedName name="SummNSFBY" refersTo="='Summary Page 2'!$D$14"/>
      <definedName name="SummOtherBY" refersTo="='Summary Page 2'!$D$21"/>
      <definedName name="SummRemedialBY" refersTo="='Summary Page 2'!$E$27"/>
      <definedName name="SummRemedialPY" refersTo="='Summary Page 2'!$D$27"/>
      <definedName name="SummSchoolPlantBY" refersTo="='Summary Page 2'!$D$17"/>
      <definedName name="SummSpecEdTotalBY" refersTo="='Summary Page 2'!$E$33"/>
      <definedName name="SummSpecEdTotalPY" refersTo="='Summary Page 2'!$D$33"/>
      <definedName name="SummStateProjectsBY" refersTo="='Summary Page 2'!$D$12"/>
      <definedName name="SummUCOBY" refersTo="='Summary Page 2'!$D$13"/>
      <definedName name="SummVocandTechEdBY" refersTo="='Summary Page 2'!$E$30"/>
      <definedName name="SummVocandTechEdPY" refersTo="='Summary Page 2'!$D$30"/>
      <definedName name="TotalFTEAdmin" refersTo="='Summary Page 2'!$F$38"/>
      <definedName name="TotalFTECertOther" refersTo="='Summary Page 2'!$F$40"/>
      <definedName name="TotalFTECertSubtotal" refersTo="='Summary Page 2'!$F$41"/>
      <definedName name="TotalFTEClassOther" refersTo="='Summary Page 2'!$F$45"/>
      <definedName name="TotalFTEClassSubtotal" refersTo="='Summary Page 2'!$F$46"/>
      <definedName name="TotalFTEManagers" refersTo="='Summary Page 2'!$F$43"/>
      <definedName name="TotalFTESpecEdStaff" refersTo="='Summary Page 2'!$F$51"/>
      <definedName name="TotalFTESpecEdTeacher" refersTo="='Summary Page 2'!$F$50"/>
      <definedName name="TotalFTETeachers" refersTo="='Summary Page 2'!$F$39"/>
      <definedName name="TotalFTETeachersAides" refersTo="='Summary Page 2'!$F$44"/>
      <definedName name="TotalFTETotal" refersTo="='Summary Page 2'!$F$47"/>
      <definedName name="TwoPriorYearADM" refersTo="='Summary Page 1'!$B$12"/>
      <definedName name="UCBLBudgFYSumm" refersTo="='Summary Page 1'!$D$24"/>
      <definedName name="UCOBudgFYSumm" refersTo="='Summary Page 1'!$C$24"/>
    </definedNames>
    <sheetDataSet>
      <sheetData sheetId="0">
        <row r="1">
          <cell r="C1" t="str">
            <v>Mary C. O'Brien Accommodation School District</v>
          </cell>
        </row>
        <row r="14">
          <cell r="C14" t="str">
            <v xml:space="preserve">     Adopted</v>
          </cell>
        </row>
        <row r="36">
          <cell r="F36" t="str">
            <v>Business Manager Name (Typed Name)</v>
          </cell>
        </row>
        <row r="38">
          <cell r="D38" t="str">
            <v>Tonya L. Taylor</v>
          </cell>
        </row>
        <row r="40">
          <cell r="F40" t="str">
            <v>Email:</v>
          </cell>
        </row>
      </sheetData>
      <sheetData sheetId="1">
        <row r="6">
          <cell r="D6" t="str">
            <v>Martin</v>
          </cell>
        </row>
        <row r="7">
          <cell r="D7" t="str">
            <v>Michelle</v>
          </cell>
        </row>
        <row r="8">
          <cell r="D8" t="str">
            <v>Tonya</v>
          </cell>
        </row>
        <row r="9">
          <cell r="D9" t="str">
            <v>Sherree</v>
          </cell>
        </row>
        <row r="10">
          <cell r="D10" t="str">
            <v>Tonya</v>
          </cell>
        </row>
        <row r="11">
          <cell r="D11" t="str">
            <v>Tonya</v>
          </cell>
        </row>
        <row r="12">
          <cell r="C12" t="str">
            <v xml:space="preserve">Mrs. </v>
          </cell>
          <cell r="D12" t="str">
            <v>Michelle</v>
          </cell>
        </row>
        <row r="13">
          <cell r="D13" t="str">
            <v>Ector</v>
          </cell>
        </row>
        <row r="14">
          <cell r="C14" t="str">
            <v xml:space="preserve">Mrs. </v>
          </cell>
          <cell r="D14" t="str">
            <v>SueAnn</v>
          </cell>
        </row>
        <row r="15">
          <cell r="D15" t="str">
            <v>Jesse</v>
          </cell>
          <cell r="E15" t="str">
            <v>Salazar</v>
          </cell>
        </row>
        <row r="16">
          <cell r="D16" t="str">
            <v>Ector</v>
          </cell>
        </row>
        <row r="17">
          <cell r="C17" t="str">
            <v>Mr.</v>
          </cell>
          <cell r="D17" t="str">
            <v>Ector</v>
          </cell>
        </row>
        <row r="18">
          <cell r="D18" t="str">
            <v>Ector</v>
          </cell>
        </row>
        <row r="19">
          <cell r="D19" t="str">
            <v>Ector</v>
          </cell>
        </row>
        <row r="20">
          <cell r="D20" t="str">
            <v>Jacob</v>
          </cell>
        </row>
        <row r="21">
          <cell r="D21" t="str">
            <v>Ector</v>
          </cell>
        </row>
        <row r="22">
          <cell r="C22" t="str">
            <v xml:space="preserve">Mrs. </v>
          </cell>
          <cell r="D22" t="str">
            <v>Jill</v>
          </cell>
        </row>
        <row r="23">
          <cell r="C23" t="str">
            <v xml:space="preserve">Mrs. </v>
          </cell>
          <cell r="D23" t="str">
            <v>Jill</v>
          </cell>
        </row>
        <row r="24">
          <cell r="C24" t="str">
            <v xml:space="preserve">Mrs. </v>
          </cell>
          <cell r="D24" t="str">
            <v>Jill</v>
          </cell>
        </row>
        <row r="25">
          <cell r="D25" t="str">
            <v>Jill</v>
          </cell>
          <cell r="E25" t="str">
            <v>Broussard</v>
          </cell>
        </row>
        <row r="26">
          <cell r="D26" t="str">
            <v>Jill</v>
          </cell>
          <cell r="E26" t="str">
            <v>Broussard</v>
          </cell>
        </row>
        <row r="27">
          <cell r="D27" t="str">
            <v>Jill</v>
          </cell>
          <cell r="E27" t="str">
            <v>Broussard</v>
          </cell>
        </row>
        <row r="28">
          <cell r="D28" t="str">
            <v>Jill</v>
          </cell>
          <cell r="E28" t="str">
            <v>Broussard</v>
          </cell>
        </row>
        <row r="29">
          <cell r="E29" t="str">
            <v>Broussard</v>
          </cell>
        </row>
        <row r="30">
          <cell r="D30" t="str">
            <v>Jill</v>
          </cell>
          <cell r="E30" t="str">
            <v>Broussard</v>
          </cell>
        </row>
        <row r="32">
          <cell r="D32" t="str">
            <v>SELECT from Dropdown</v>
          </cell>
        </row>
        <row r="33">
          <cell r="D33" t="str">
            <v>PowerSchool (PowerSchool)</v>
          </cell>
        </row>
        <row r="37">
          <cell r="D37" t="str">
            <v>N/A</v>
          </cell>
        </row>
        <row r="39">
          <cell r="D39" t="str">
            <v>www.pinalk12.org</v>
          </cell>
        </row>
      </sheetData>
      <sheetData sheetId="2">
        <row r="6">
          <cell r="D6" t="str">
            <v>FY</v>
          </cell>
        </row>
        <row r="7">
          <cell r="D7">
            <v>26</v>
          </cell>
        </row>
        <row r="9">
          <cell r="D9">
            <v>5</v>
          </cell>
        </row>
        <row r="10">
          <cell r="I10">
            <v>5000</v>
          </cell>
        </row>
        <row r="11">
          <cell r="D11">
            <v>0</v>
          </cell>
          <cell r="I11">
            <v>7000</v>
          </cell>
        </row>
        <row r="12">
          <cell r="C12" t="str">
            <v>4.</v>
          </cell>
          <cell r="D12">
            <v>2</v>
          </cell>
          <cell r="I12">
            <v>1000</v>
          </cell>
        </row>
        <row r="13">
          <cell r="D13">
            <v>3.5</v>
          </cell>
          <cell r="I13">
            <v>9000</v>
          </cell>
        </row>
        <row r="14">
          <cell r="C14" t="str">
            <v>6.</v>
          </cell>
          <cell r="D14">
            <v>4</v>
          </cell>
        </row>
        <row r="15">
          <cell r="D15">
            <v>8</v>
          </cell>
          <cell r="E15">
            <v>8</v>
          </cell>
        </row>
        <row r="16">
          <cell r="D16">
            <v>0</v>
          </cell>
        </row>
        <row r="17">
          <cell r="C17" t="str">
            <v>9.</v>
          </cell>
          <cell r="D17">
            <v>3</v>
          </cell>
        </row>
        <row r="18">
          <cell r="D18">
            <v>0</v>
          </cell>
        </row>
        <row r="19">
          <cell r="D19">
            <v>0</v>
          </cell>
        </row>
        <row r="20">
          <cell r="D20">
            <v>0</v>
          </cell>
        </row>
        <row r="21">
          <cell r="D21">
            <v>0</v>
          </cell>
        </row>
        <row r="22">
          <cell r="C22" t="str">
            <v>14.</v>
          </cell>
          <cell r="D22">
            <v>51.5</v>
          </cell>
        </row>
        <row r="23">
          <cell r="D23">
            <v>4</v>
          </cell>
        </row>
        <row r="24">
          <cell r="C24" t="str">
            <v>15.</v>
          </cell>
        </row>
        <row r="25">
          <cell r="D25">
            <v>2</v>
          </cell>
        </row>
        <row r="26">
          <cell r="E26">
            <v>2</v>
          </cell>
        </row>
        <row r="27">
          <cell r="D27">
            <v>0</v>
          </cell>
          <cell r="E27">
            <v>0</v>
          </cell>
        </row>
        <row r="28">
          <cell r="D28">
            <v>0</v>
          </cell>
          <cell r="E28">
            <v>0</v>
          </cell>
        </row>
        <row r="29">
          <cell r="E29">
            <v>0</v>
          </cell>
        </row>
        <row r="30">
          <cell r="D30">
            <v>0</v>
          </cell>
          <cell r="E30">
            <v>0</v>
          </cell>
        </row>
        <row r="31">
          <cell r="D31">
            <v>0</v>
          </cell>
          <cell r="E31">
            <v>0</v>
          </cell>
        </row>
        <row r="32">
          <cell r="D32">
            <v>0</v>
          </cell>
          <cell r="E32">
            <v>0</v>
          </cell>
        </row>
        <row r="33">
          <cell r="D33">
            <v>0</v>
          </cell>
          <cell r="E33">
            <v>0</v>
          </cell>
        </row>
        <row r="34">
          <cell r="D34">
            <v>6</v>
          </cell>
          <cell r="F34">
            <v>366170</v>
          </cell>
        </row>
        <row r="36">
          <cell r="D36">
            <v>0</v>
          </cell>
          <cell r="F36">
            <v>0</v>
          </cell>
        </row>
        <row r="38">
          <cell r="D38">
            <v>0</v>
          </cell>
          <cell r="E38">
            <v>0</v>
          </cell>
        </row>
        <row r="39">
          <cell r="D39">
            <v>0</v>
          </cell>
          <cell r="E39">
            <v>0</v>
          </cell>
          <cell r="F39">
            <v>0</v>
          </cell>
          <cell r="H39">
            <v>0</v>
          </cell>
        </row>
        <row r="41">
          <cell r="D41">
            <v>1</v>
          </cell>
          <cell r="E41">
            <v>1</v>
          </cell>
          <cell r="F41">
            <v>34686</v>
          </cell>
          <cell r="H41">
            <v>0</v>
          </cell>
        </row>
        <row r="42">
          <cell r="D42">
            <v>69</v>
          </cell>
          <cell r="F42">
            <v>3600844</v>
          </cell>
        </row>
      </sheetData>
      <sheetData sheetId="3">
        <row r="11">
          <cell r="F11">
            <v>0</v>
          </cell>
        </row>
        <row r="12">
          <cell r="B12" t="str">
            <v>Vocational and Technical Education (non-CTED)</v>
          </cell>
        </row>
        <row r="28">
          <cell r="E28" t="str">
            <v>Number of FTE - Certified Employees</v>
          </cell>
        </row>
        <row r="29">
          <cell r="E29" t="str">
            <v>Number of FTE - Certified Purchased Services Personnel</v>
          </cell>
        </row>
      </sheetData>
      <sheetData sheetId="4">
        <row r="6">
          <cell r="D6">
            <v>332984</v>
          </cell>
        </row>
        <row r="12">
          <cell r="C12" t="str">
            <v>7.</v>
          </cell>
        </row>
        <row r="14">
          <cell r="C14" t="str">
            <v>9.</v>
          </cell>
          <cell r="D14">
            <v>332984</v>
          </cell>
        </row>
        <row r="31">
          <cell r="D31">
            <v>389660</v>
          </cell>
        </row>
        <row r="32">
          <cell r="D32">
            <v>135318</v>
          </cell>
          <cell r="E32" t="str">
            <v/>
          </cell>
        </row>
        <row r="33">
          <cell r="D33">
            <v>254342</v>
          </cell>
        </row>
        <row r="34">
          <cell r="D34">
            <v>2805</v>
          </cell>
        </row>
        <row r="36">
          <cell r="D36">
            <v>0</v>
          </cell>
        </row>
        <row r="38">
          <cell r="D38">
            <v>475691</v>
          </cell>
        </row>
      </sheetData>
      <sheetData sheetId="5">
        <row r="7">
          <cell r="D7">
            <v>6440</v>
          </cell>
        </row>
        <row r="12">
          <cell r="C12" t="str">
            <v>3.</v>
          </cell>
        </row>
        <row r="13">
          <cell r="D13">
            <v>90000</v>
          </cell>
          <cell r="I13">
            <v>25000</v>
          </cell>
        </row>
        <row r="14">
          <cell r="C14" t="str">
            <v>5.</v>
          </cell>
          <cell r="D14">
            <v>50000</v>
          </cell>
        </row>
        <row r="17">
          <cell r="C17" t="str">
            <v>8.</v>
          </cell>
          <cell r="D17">
            <v>75000</v>
          </cell>
        </row>
        <row r="19">
          <cell r="D19">
            <v>215000</v>
          </cell>
        </row>
        <row r="30">
          <cell r="E30" t="str">
            <v>(6)</v>
          </cell>
        </row>
        <row r="39">
          <cell r="E39" t="str">
            <v>, interest on leases of</v>
          </cell>
          <cell r="H39" t="str">
            <v>, and interest on bonds of</v>
          </cell>
        </row>
      </sheetData>
      <sheetData sheetId="6">
        <row r="6">
          <cell r="D6" t="str">
            <v>Fund 610</v>
          </cell>
        </row>
        <row r="7">
          <cell r="D7" t="str">
            <v>Prior FY</v>
          </cell>
        </row>
        <row r="8">
          <cell r="D8">
            <v>1802516</v>
          </cell>
        </row>
        <row r="10">
          <cell r="D10">
            <v>0</v>
          </cell>
        </row>
        <row r="11">
          <cell r="D11">
            <v>0</v>
          </cell>
          <cell r="F11">
            <v>0</v>
          </cell>
        </row>
        <row r="12">
          <cell r="C12" t="str">
            <v>4.</v>
          </cell>
          <cell r="D12">
            <v>0</v>
          </cell>
        </row>
        <row r="13">
          <cell r="D13">
            <v>21000</v>
          </cell>
        </row>
        <row r="14">
          <cell r="C14" t="str">
            <v>6.</v>
          </cell>
          <cell r="D14">
            <v>494083</v>
          </cell>
        </row>
        <row r="15">
          <cell r="D15">
            <v>677433</v>
          </cell>
          <cell r="E15">
            <v>800000</v>
          </cell>
        </row>
        <row r="16">
          <cell r="D16">
            <v>185000</v>
          </cell>
        </row>
        <row r="17">
          <cell r="C17" t="str">
            <v>9.</v>
          </cell>
          <cell r="D17">
            <v>250000</v>
          </cell>
        </row>
        <row r="18">
          <cell r="D18">
            <v>150000</v>
          </cell>
        </row>
        <row r="19">
          <cell r="D19">
            <v>25000</v>
          </cell>
        </row>
        <row r="20">
          <cell r="D20">
            <v>1802516</v>
          </cell>
        </row>
        <row r="22">
          <cell r="C22" t="str">
            <v>13.</v>
          </cell>
          <cell r="D22">
            <v>0</v>
          </cell>
        </row>
        <row r="23">
          <cell r="C23" t="str">
            <v>14.</v>
          </cell>
          <cell r="D23">
            <v>0</v>
          </cell>
        </row>
        <row r="24">
          <cell r="C24" t="str">
            <v>15.</v>
          </cell>
          <cell r="D24">
            <v>1802516</v>
          </cell>
        </row>
        <row r="25">
          <cell r="D25">
            <v>1802516</v>
          </cell>
          <cell r="E25">
            <v>1698585</v>
          </cell>
        </row>
        <row r="26">
          <cell r="E26" t="str">
            <v/>
          </cell>
        </row>
        <row r="28">
          <cell r="E28">
            <v>0</v>
          </cell>
        </row>
      </sheetData>
      <sheetData sheetId="7">
        <row r="10">
          <cell r="I10">
            <v>0</v>
          </cell>
        </row>
        <row r="11">
          <cell r="F11">
            <v>0</v>
          </cell>
          <cell r="I11">
            <v>0</v>
          </cell>
        </row>
        <row r="12">
          <cell r="C12" t="str">
            <v>200 ESEA Title VII - Indian Education</v>
          </cell>
          <cell r="I12">
            <v>0</v>
          </cell>
        </row>
        <row r="13">
          <cell r="I13">
            <v>0</v>
          </cell>
        </row>
        <row r="14">
          <cell r="C14" t="str">
            <v>220 IDEA Part B</v>
          </cell>
        </row>
        <row r="17">
          <cell r="C17" t="str">
            <v>250 AEA -  Adult Education</v>
          </cell>
        </row>
        <row r="22">
          <cell r="C22" t="str">
            <v>378 Impact Aid</v>
          </cell>
        </row>
        <row r="23">
          <cell r="C23" t="str">
            <v>300-399 Other Federal Projects (Besides E-Rate &amp; Impact Aid)</v>
          </cell>
        </row>
        <row r="24">
          <cell r="C24" t="str">
            <v>Total Federal Project Funds (lines 1-17)</v>
          </cell>
        </row>
        <row r="32">
          <cell r="F32">
            <v>0</v>
          </cell>
        </row>
        <row r="34">
          <cell r="F34">
            <v>0</v>
          </cell>
        </row>
        <row r="36">
          <cell r="F36">
            <v>0</v>
          </cell>
        </row>
        <row r="37">
          <cell r="F37">
            <v>0</v>
          </cell>
        </row>
        <row r="39">
          <cell r="F39" t="str">
            <v>Prior FY</v>
          </cell>
          <cell r="H39" t="str">
            <v>Budget FY</v>
          </cell>
        </row>
        <row r="40">
          <cell r="F40">
            <v>8340</v>
          </cell>
          <cell r="H40">
            <v>8340</v>
          </cell>
        </row>
        <row r="41">
          <cell r="F41">
            <v>4170</v>
          </cell>
          <cell r="H41">
            <v>4170</v>
          </cell>
        </row>
        <row r="42">
          <cell r="F42">
            <v>0</v>
          </cell>
        </row>
        <row r="43">
          <cell r="F43">
            <v>8340</v>
          </cell>
          <cell r="H43">
            <v>8340</v>
          </cell>
        </row>
        <row r="44">
          <cell r="F44">
            <v>20850</v>
          </cell>
          <cell r="H44">
            <v>20850</v>
          </cell>
        </row>
      </sheetData>
      <sheetData sheetId="8">
        <row r="10">
          <cell r="I10" t="str">
            <v>$</v>
          </cell>
        </row>
        <row r="14">
          <cell r="C14" t="str">
            <v>FY 2024 District Additional Assistance (DAA)  (from BSA55 tab, page 4)</v>
          </cell>
        </row>
        <row r="17">
          <cell r="C17" t="str">
            <v>Total DAA (line 2.a plus 2.b)</v>
          </cell>
        </row>
      </sheetData>
      <sheetData sheetId="9">
        <row r="12">
          <cell r="B12" t="str">
            <v>4.</v>
          </cell>
          <cell r="C12" t="str">
            <v xml:space="preserve">Amount Budgeted in Fund 610 in FY 2023 </v>
          </cell>
        </row>
        <row r="14">
          <cell r="C14" t="str">
            <v>Lesser of line 3 or the sum of line 4 and any positive adjustment on line 2</v>
          </cell>
        </row>
        <row r="17">
          <cell r="C17" t="str">
            <v xml:space="preserve">Unexpended Budget Balance in Fund 610 (line 5 minus 6) If negative, use zero in </v>
          </cell>
        </row>
        <row r="22">
          <cell r="C22" t="str">
            <v>Adjustment to UCBL for FY 2024 (A.R.S. §15-905.M) Include year(s) and descriptions, as applicable.</v>
          </cell>
        </row>
        <row r="23">
          <cell r="C23" t="str">
            <v>(a)</v>
          </cell>
          <cell r="D23" t="str">
            <v>Prior Year Over Expenditures/Resolutions:</v>
          </cell>
        </row>
        <row r="27">
          <cell r="D27" t="str">
            <v>ADM/Transportation Audit Adjustment</v>
          </cell>
        </row>
        <row r="28">
          <cell r="D28" t="str">
            <v>Other:</v>
          </cell>
        </row>
      </sheetData>
      <sheetData sheetId="10">
        <row r="6">
          <cell r="D6" t="str">
            <v>FY</v>
          </cell>
        </row>
        <row r="7">
          <cell r="D7">
            <v>0</v>
          </cell>
        </row>
        <row r="9">
          <cell r="D9">
            <v>0</v>
          </cell>
        </row>
        <row r="11">
          <cell r="D11">
            <v>0</v>
          </cell>
        </row>
        <row r="12">
          <cell r="C12" t="str">
            <v>4.</v>
          </cell>
          <cell r="D12">
            <v>0</v>
          </cell>
        </row>
        <row r="13">
          <cell r="D13">
            <v>0</v>
          </cell>
        </row>
        <row r="14">
          <cell r="C14" t="str">
            <v>6.</v>
          </cell>
          <cell r="D14">
            <v>0</v>
          </cell>
        </row>
        <row r="15">
          <cell r="D15">
            <v>0</v>
          </cell>
        </row>
        <row r="16">
          <cell r="D16">
            <v>0</v>
          </cell>
        </row>
        <row r="17">
          <cell r="C17" t="str">
            <v>9.</v>
          </cell>
          <cell r="D17">
            <v>0</v>
          </cell>
        </row>
        <row r="18">
          <cell r="D18">
            <v>0</v>
          </cell>
        </row>
        <row r="19">
          <cell r="D19">
            <v>0</v>
          </cell>
        </row>
        <row r="21">
          <cell r="D21">
            <v>0</v>
          </cell>
        </row>
        <row r="22">
          <cell r="C22" t="str">
            <v>12.</v>
          </cell>
        </row>
        <row r="23">
          <cell r="C23" t="str">
            <v>13.</v>
          </cell>
          <cell r="D23">
            <v>0</v>
          </cell>
        </row>
        <row r="24">
          <cell r="C24" t="str">
            <v>14.</v>
          </cell>
          <cell r="D24">
            <v>0</v>
          </cell>
        </row>
        <row r="25">
          <cell r="D25">
            <v>0</v>
          </cell>
        </row>
        <row r="26">
          <cell r="D26">
            <v>0</v>
          </cell>
        </row>
        <row r="27">
          <cell r="D27">
            <v>0</v>
          </cell>
        </row>
        <row r="28">
          <cell r="D28">
            <v>0</v>
          </cell>
        </row>
        <row r="30">
          <cell r="D30">
            <v>0</v>
          </cell>
          <cell r="E30">
            <v>0</v>
          </cell>
        </row>
      </sheetData>
      <sheetData sheetId="11">
        <row r="2">
          <cell r="I2" t="str">
            <v>Proposed</v>
          </cell>
        </row>
        <row r="3">
          <cell r="B3" t="str">
            <v xml:space="preserve">Mary C. O'Brien Accommodation </v>
          </cell>
          <cell r="F3" t="str">
            <v>Pinal</v>
          </cell>
        </row>
        <row r="5">
          <cell r="A5" t="str">
            <v>Tonya L. Taylor</v>
          </cell>
        </row>
        <row r="9">
          <cell r="D9" t="str">
            <v>Budget Year</v>
          </cell>
        </row>
        <row r="10">
          <cell r="D10" t="str">
            <v>2024 ADM</v>
          </cell>
          <cell r="I10">
            <v>65067</v>
          </cell>
        </row>
        <row r="11">
          <cell r="I11">
            <v>69777</v>
          </cell>
        </row>
        <row r="12">
          <cell r="B12">
            <v>196.4194</v>
          </cell>
          <cell r="C12">
            <v>202.23060000000001</v>
          </cell>
          <cell r="D12">
            <v>202.23060000000001</v>
          </cell>
          <cell r="I12">
            <v>-4710</v>
          </cell>
        </row>
        <row r="13">
          <cell r="D13" t="str">
            <v>Est. Budget FY</v>
          </cell>
          <cell r="I13">
            <v>-7.0000000000000007E-2</v>
          </cell>
        </row>
        <row r="14">
          <cell r="C14">
            <v>0</v>
          </cell>
          <cell r="D14">
            <v>0</v>
          </cell>
        </row>
        <row r="15">
          <cell r="E15" t="str">
            <v xml:space="preserve">Thru attrition, this district experienced long term certified employees retiring and new employees hired at a lower rate of pay.  
However, an average increase of 3% was given to certified employees overall.
</v>
          </cell>
        </row>
        <row r="17">
          <cell r="C17">
            <v>0</v>
          </cell>
          <cell r="D17">
            <v>0</v>
          </cell>
        </row>
        <row r="21">
          <cell r="D21" t="str">
            <v>Budget Limit</v>
          </cell>
        </row>
        <row r="22">
          <cell r="C22">
            <v>7047001</v>
          </cell>
          <cell r="D22">
            <v>7047001</v>
          </cell>
        </row>
        <row r="23">
          <cell r="C23">
            <v>475691</v>
          </cell>
          <cell r="D23">
            <v>475691</v>
          </cell>
        </row>
        <row r="24">
          <cell r="C24">
            <v>1698585</v>
          </cell>
          <cell r="D24">
            <v>1698585</v>
          </cell>
        </row>
        <row r="29">
          <cell r="E29" t="str">
            <v>Other</v>
          </cell>
        </row>
        <row r="30">
          <cell r="D30" t="str">
            <v>Budget FY</v>
          </cell>
          <cell r="E30" t="str">
            <v>Prior FY</v>
          </cell>
        </row>
        <row r="32">
          <cell r="D32">
            <v>2956253</v>
          </cell>
          <cell r="E32">
            <v>232240</v>
          </cell>
          <cell r="F32">
            <v>193000</v>
          </cell>
        </row>
        <row r="34">
          <cell r="D34">
            <v>362176</v>
          </cell>
          <cell r="F34">
            <v>22000</v>
          </cell>
        </row>
        <row r="36">
          <cell r="D36">
            <v>0</v>
          </cell>
          <cell r="F36">
            <v>41500</v>
          </cell>
        </row>
        <row r="37">
          <cell r="D37">
            <v>840490</v>
          </cell>
          <cell r="F37">
            <v>131000</v>
          </cell>
        </row>
        <row r="38">
          <cell r="D38">
            <v>452575</v>
          </cell>
          <cell r="E38">
            <v>582463</v>
          </cell>
          <cell r="F38">
            <v>577000</v>
          </cell>
          <cell r="H38">
            <v>1029575</v>
          </cell>
        </row>
        <row r="39">
          <cell r="D39">
            <v>0</v>
          </cell>
          <cell r="E39">
            <v>0</v>
          </cell>
          <cell r="F39">
            <v>0</v>
          </cell>
          <cell r="H39">
            <v>0</v>
          </cell>
        </row>
        <row r="40">
          <cell r="D40">
            <v>168263</v>
          </cell>
          <cell r="E40">
            <v>5025</v>
          </cell>
          <cell r="F40">
            <v>5600</v>
          </cell>
          <cell r="H40">
            <v>173863</v>
          </cell>
        </row>
        <row r="41">
          <cell r="D41">
            <v>0</v>
          </cell>
          <cell r="E41">
            <v>0</v>
          </cell>
          <cell r="F41">
            <v>0</v>
          </cell>
          <cell r="H41">
            <v>0</v>
          </cell>
        </row>
        <row r="42">
          <cell r="D42">
            <v>0</v>
          </cell>
          <cell r="F42">
            <v>0</v>
          </cell>
        </row>
        <row r="43">
          <cell r="D43">
            <v>0</v>
          </cell>
          <cell r="E43">
            <v>0</v>
          </cell>
          <cell r="F43">
            <v>0</v>
          </cell>
          <cell r="H43">
            <v>0</v>
          </cell>
        </row>
        <row r="44">
          <cell r="D44">
            <v>4779757</v>
          </cell>
          <cell r="E44">
            <v>1046406</v>
          </cell>
          <cell r="F44">
            <v>970100</v>
          </cell>
          <cell r="H44">
            <v>5749857</v>
          </cell>
        </row>
        <row r="45">
          <cell r="D45">
            <v>299842</v>
          </cell>
          <cell r="E45">
            <v>10500</v>
          </cell>
          <cell r="F45">
            <v>4000</v>
          </cell>
          <cell r="H45">
            <v>303842</v>
          </cell>
        </row>
        <row r="47">
          <cell r="D47">
            <v>155939</v>
          </cell>
          <cell r="E47">
            <v>108750</v>
          </cell>
          <cell r="F47">
            <v>0</v>
          </cell>
          <cell r="H47">
            <v>155939</v>
          </cell>
        </row>
        <row r="49">
          <cell r="D49">
            <v>61689</v>
          </cell>
          <cell r="F49">
            <v>8000</v>
          </cell>
        </row>
        <row r="50">
          <cell r="D50">
            <v>0</v>
          </cell>
          <cell r="E50">
            <v>0</v>
          </cell>
          <cell r="F50">
            <v>0</v>
          </cell>
          <cell r="H50">
            <v>0</v>
          </cell>
        </row>
        <row r="51">
          <cell r="D51">
            <v>0</v>
          </cell>
          <cell r="E51">
            <v>0</v>
          </cell>
          <cell r="F51">
            <v>0</v>
          </cell>
          <cell r="H51">
            <v>0</v>
          </cell>
        </row>
        <row r="52">
          <cell r="D52">
            <v>0</v>
          </cell>
          <cell r="F52">
            <v>0</v>
          </cell>
        </row>
        <row r="53">
          <cell r="D53">
            <v>0</v>
          </cell>
          <cell r="F53">
            <v>0</v>
          </cell>
        </row>
        <row r="55">
          <cell r="D55">
            <v>544628</v>
          </cell>
          <cell r="F55">
            <v>172000</v>
          </cell>
        </row>
        <row r="56">
          <cell r="D56">
            <v>0</v>
          </cell>
          <cell r="F56">
            <v>0</v>
          </cell>
        </row>
        <row r="57">
          <cell r="D57">
            <v>0</v>
          </cell>
          <cell r="F57">
            <v>0</v>
          </cell>
        </row>
        <row r="58">
          <cell r="D58">
            <v>0</v>
          </cell>
          <cell r="F58">
            <v>0</v>
          </cell>
        </row>
        <row r="60">
          <cell r="D60">
            <v>51046</v>
          </cell>
          <cell r="F60">
            <v>0</v>
          </cell>
        </row>
      </sheetData>
      <sheetData sheetId="12">
        <row r="6">
          <cell r="D6">
            <v>7047001</v>
          </cell>
        </row>
        <row r="7">
          <cell r="D7">
            <v>20850</v>
          </cell>
        </row>
        <row r="8">
          <cell r="D8">
            <v>0</v>
          </cell>
        </row>
        <row r="9">
          <cell r="D9">
            <v>0</v>
          </cell>
        </row>
        <row r="10">
          <cell r="D10">
            <v>475691</v>
          </cell>
        </row>
        <row r="11">
          <cell r="D11">
            <v>662079</v>
          </cell>
          <cell r="F11">
            <v>-0.255</v>
          </cell>
        </row>
        <row r="12">
          <cell r="C12">
            <v>0</v>
          </cell>
          <cell r="D12">
            <v>71145</v>
          </cell>
        </row>
        <row r="13">
          <cell r="D13">
            <v>1698585</v>
          </cell>
        </row>
        <row r="14">
          <cell r="C14">
            <v>0</v>
          </cell>
          <cell r="D14">
            <v>0</v>
          </cell>
        </row>
        <row r="15">
          <cell r="D15">
            <v>0</v>
          </cell>
          <cell r="E15">
            <v>0</v>
          </cell>
        </row>
        <row r="16">
          <cell r="D16">
            <v>0</v>
          </cell>
        </row>
        <row r="17">
          <cell r="C17">
            <v>0</v>
          </cell>
          <cell r="D17">
            <v>0</v>
          </cell>
        </row>
        <row r="18">
          <cell r="D18">
            <v>0</v>
          </cell>
        </row>
        <row r="19">
          <cell r="D19">
            <v>0</v>
          </cell>
        </row>
        <row r="20">
          <cell r="D20">
            <v>185000</v>
          </cell>
        </row>
        <row r="21">
          <cell r="D21">
            <v>300750</v>
          </cell>
        </row>
        <row r="24">
          <cell r="D24" t="str">
            <v>Prior FY</v>
          </cell>
        </row>
        <row r="25">
          <cell r="D25">
            <v>533182</v>
          </cell>
          <cell r="E25">
            <v>529470</v>
          </cell>
        </row>
        <row r="26">
          <cell r="D26">
            <v>0</v>
          </cell>
          <cell r="E26">
            <v>0</v>
          </cell>
        </row>
        <row r="27">
          <cell r="D27">
            <v>0</v>
          </cell>
          <cell r="E27">
            <v>0</v>
          </cell>
        </row>
        <row r="28">
          <cell r="D28">
            <v>0</v>
          </cell>
          <cell r="E28">
            <v>0</v>
          </cell>
        </row>
        <row r="29">
          <cell r="E29">
            <v>0</v>
          </cell>
        </row>
        <row r="30">
          <cell r="D30">
            <v>0</v>
          </cell>
          <cell r="E30">
            <v>0</v>
          </cell>
        </row>
        <row r="31">
          <cell r="D31">
            <v>0</v>
          </cell>
          <cell r="E31">
            <v>0</v>
          </cell>
        </row>
        <row r="32">
          <cell r="D32">
            <v>0</v>
          </cell>
          <cell r="E32">
            <v>0</v>
          </cell>
        </row>
        <row r="33">
          <cell r="D33">
            <v>533182</v>
          </cell>
          <cell r="E33">
            <v>529470</v>
          </cell>
        </row>
        <row r="36">
          <cell r="D36" t="str">
            <v>Purchased Services Personnel  FTE</v>
          </cell>
          <cell r="F36" t="str">
            <v>Total FTE</v>
          </cell>
        </row>
        <row r="38">
          <cell r="D38">
            <v>0</v>
          </cell>
          <cell r="E38">
            <v>3</v>
          </cell>
          <cell r="F38">
            <v>3</v>
          </cell>
          <cell r="H38">
            <v>67.400000000000006</v>
          </cell>
        </row>
        <row r="39">
          <cell r="D39">
            <v>0</v>
          </cell>
          <cell r="E39">
            <v>20</v>
          </cell>
          <cell r="F39">
            <v>20</v>
          </cell>
          <cell r="H39">
            <v>10.1</v>
          </cell>
        </row>
        <row r="40">
          <cell r="D40">
            <v>0</v>
          </cell>
          <cell r="E40">
            <v>3</v>
          </cell>
          <cell r="F40">
            <v>3</v>
          </cell>
          <cell r="H40">
            <v>67.400000000000006</v>
          </cell>
        </row>
        <row r="41">
          <cell r="D41">
            <v>0</v>
          </cell>
          <cell r="E41">
            <v>26</v>
          </cell>
          <cell r="F41">
            <v>26</v>
          </cell>
          <cell r="H41">
            <v>7.8</v>
          </cell>
        </row>
        <row r="43">
          <cell r="D43">
            <v>0</v>
          </cell>
          <cell r="E43">
            <v>5</v>
          </cell>
          <cell r="F43">
            <v>5</v>
          </cell>
          <cell r="H43">
            <v>40.4</v>
          </cell>
        </row>
        <row r="44">
          <cell r="D44">
            <v>1</v>
          </cell>
          <cell r="E44">
            <v>9</v>
          </cell>
          <cell r="F44">
            <v>10</v>
          </cell>
          <cell r="H44">
            <v>20.2</v>
          </cell>
        </row>
        <row r="45">
          <cell r="D45">
            <v>0</v>
          </cell>
          <cell r="E45">
            <v>28</v>
          </cell>
          <cell r="F45">
            <v>28</v>
          </cell>
          <cell r="H45">
            <v>7.2</v>
          </cell>
        </row>
        <row r="46">
          <cell r="D46">
            <v>1</v>
          </cell>
          <cell r="E46">
            <v>42</v>
          </cell>
          <cell r="F46">
            <v>43</v>
          </cell>
          <cell r="H46">
            <v>4.7</v>
          </cell>
        </row>
        <row r="47">
          <cell r="D47">
            <v>1</v>
          </cell>
          <cell r="E47">
            <v>68</v>
          </cell>
          <cell r="F47">
            <v>69</v>
          </cell>
          <cell r="H47">
            <v>2.9</v>
          </cell>
        </row>
        <row r="50">
          <cell r="D50">
            <v>0</v>
          </cell>
          <cell r="E50">
            <v>1</v>
          </cell>
          <cell r="F50">
            <v>1</v>
          </cell>
          <cell r="H50">
            <v>10</v>
          </cell>
        </row>
        <row r="51">
          <cell r="D51">
            <v>0</v>
          </cell>
          <cell r="E51">
            <v>0</v>
          </cell>
          <cell r="F51">
            <v>0</v>
          </cell>
          <cell r="H51">
            <v>10</v>
          </cell>
        </row>
      </sheetData>
      <sheetData sheetId="13">
        <row r="11">
          <cell r="I11">
            <v>0</v>
          </cell>
        </row>
        <row r="12">
          <cell r="C12" t="str">
            <v>Dropout Prevention (from page 1, line 27)</v>
          </cell>
          <cell r="I12">
            <v>0</v>
          </cell>
        </row>
        <row r="13">
          <cell r="I13">
            <v>0</v>
          </cell>
        </row>
        <row r="14">
          <cell r="C14" t="str">
            <v>Small School Adjustment (from page 7, line 4, columns A and B)</v>
          </cell>
        </row>
        <row r="17">
          <cell r="C17" t="str">
            <v>a.</v>
          </cell>
          <cell r="D17" t="str">
            <v xml:space="preserve">FY 2023 Total Actual Expenditures for programs above                                               </v>
          </cell>
        </row>
        <row r="18">
          <cell r="D18" t="str">
            <v>Sum of FY 2023 original budget amounts for programs above (from FY 2023 TNT work sheet, sum of lines 4, 5, and 6)</v>
          </cell>
        </row>
        <row r="19">
          <cell r="D19" t="str">
            <v>Expenditures over/(under) original budget (line 8.a minus line 8.b)</v>
          </cell>
        </row>
        <row r="21">
          <cell r="D21" t="str">
            <v xml:space="preserve">FY 2023 final budget for Small School Adjustment        </v>
          </cell>
        </row>
        <row r="22">
          <cell r="C22" t="str">
            <v>b.</v>
          </cell>
          <cell r="D22" t="str">
            <v>FY 2023 original budget for Small School Adjustment (from FY 2023 TNT work sheet, line 7)</v>
          </cell>
        </row>
        <row r="23">
          <cell r="C23" t="str">
            <v>c.</v>
          </cell>
          <cell r="D23" t="str">
            <v>Amount over/(under) budget for Small School Adjustment (line 9.a minus line 9.b)</v>
          </cell>
        </row>
        <row r="24">
          <cell r="C24" t="str">
            <v>Total (add lines 4 through 7 and line 8.c. and line 9.c.)</v>
          </cell>
        </row>
        <row r="38">
          <cell r="H38" t="str">
            <v>$</v>
          </cell>
        </row>
      </sheetData>
      <sheetData sheetId="14">
        <row r="8">
          <cell r="D8" t="str">
            <v>0.5 mile or less  OR  more than 1.0 mile</v>
          </cell>
        </row>
        <row r="9">
          <cell r="D9" t="str">
            <v>More than 0.5 mile through 1.0 mile</v>
          </cell>
        </row>
        <row r="17">
          <cell r="C17" t="str">
            <v xml:space="preserve">FY 2023 100th-Day ADM </v>
          </cell>
        </row>
        <row r="22">
          <cell r="C22" t="str">
            <v>Total FY 2024 Estimated Student Count</v>
          </cell>
        </row>
        <row r="44">
          <cell r="H44">
            <v>0</v>
          </cell>
        </row>
        <row r="46">
          <cell r="D46" t="str">
            <v>9-12</v>
          </cell>
        </row>
        <row r="47">
          <cell r="E47" t="str">
            <v>Check box(es) if the district's schools are designated as small isolated by the State Board of Education. (A.R.S. §15-901)</v>
          </cell>
        </row>
        <row r="51">
          <cell r="E51" t="str">
            <v>Check box if the district has been approved to provide 200 days of instruction by ADE. (A.R.S. §15-902.04)</v>
          </cell>
        </row>
      </sheetData>
      <sheetData sheetId="15">
        <row r="11">
          <cell r="I11" t="str">
            <v>9-12</v>
          </cell>
        </row>
        <row r="13">
          <cell r="I13">
            <v>1.669</v>
          </cell>
        </row>
        <row r="49">
          <cell r="F49" t="str">
            <v>TABLE TO CALCULATE DAA PER STUDENT COUNT</v>
          </cell>
        </row>
        <row r="52">
          <cell r="F52" t="str">
            <v>DAA per Student Count</v>
          </cell>
        </row>
        <row r="55">
          <cell r="D55" t="str">
            <v>Student Count Constant</v>
          </cell>
        </row>
        <row r="56">
          <cell r="D56" t="str">
            <v xml:space="preserve">Student Count </v>
          </cell>
        </row>
        <row r="57">
          <cell r="D57" t="str">
            <v>Difference</v>
          </cell>
        </row>
        <row r="58">
          <cell r="D58" t="str">
            <v>Weight Adjustment Factor</v>
          </cell>
        </row>
        <row r="60">
          <cell r="D60" t="str">
            <v xml:space="preserve">Support Level Weight  </v>
          </cell>
        </row>
      </sheetData>
      <sheetData sheetId="16">
        <row r="6">
          <cell r="D6" t="str">
            <v>AOI-FT 
ADM</v>
          </cell>
        </row>
        <row r="7">
          <cell r="D7">
            <v>0</v>
          </cell>
        </row>
        <row r="8">
          <cell r="D8">
            <v>0</v>
          </cell>
        </row>
        <row r="9">
          <cell r="D9">
            <v>0</v>
          </cell>
        </row>
        <row r="10">
          <cell r="D10">
            <v>0</v>
          </cell>
        </row>
        <row r="12">
          <cell r="I12">
            <v>0</v>
          </cell>
        </row>
        <row r="13">
          <cell r="I13">
            <v>296.79250000000002</v>
          </cell>
        </row>
        <row r="16">
          <cell r="D16" t="str">
            <v>AOI-FT 
ADM</v>
          </cell>
        </row>
        <row r="17">
          <cell r="C17">
            <v>1</v>
          </cell>
          <cell r="D17">
            <v>0</v>
          </cell>
        </row>
        <row r="18">
          <cell r="D18">
            <v>0</v>
          </cell>
        </row>
        <row r="19">
          <cell r="D19">
            <v>0</v>
          </cell>
        </row>
        <row r="20">
          <cell r="D20">
            <v>0</v>
          </cell>
        </row>
        <row r="21">
          <cell r="D21">
            <v>0</v>
          </cell>
        </row>
        <row r="22">
          <cell r="C22">
            <v>1</v>
          </cell>
          <cell r="D22">
            <v>0</v>
          </cell>
        </row>
        <row r="23">
          <cell r="C23">
            <v>0</v>
          </cell>
          <cell r="D23">
            <v>0</v>
          </cell>
        </row>
        <row r="24">
          <cell r="C24">
            <v>0</v>
          </cell>
          <cell r="D24">
            <v>0</v>
          </cell>
        </row>
        <row r="25">
          <cell r="D25">
            <v>0</v>
          </cell>
          <cell r="E25">
            <v>0</v>
          </cell>
        </row>
        <row r="26">
          <cell r="D26">
            <v>0</v>
          </cell>
          <cell r="E26">
            <v>0</v>
          </cell>
        </row>
        <row r="27">
          <cell r="D27">
            <v>0</v>
          </cell>
          <cell r="E27">
            <v>0</v>
          </cell>
        </row>
        <row r="28">
          <cell r="D28">
            <v>0</v>
          </cell>
          <cell r="E28">
            <v>0</v>
          </cell>
        </row>
        <row r="29">
          <cell r="E29">
            <v>0</v>
          </cell>
        </row>
        <row r="30">
          <cell r="D30">
            <v>0</v>
          </cell>
          <cell r="E30">
            <v>0</v>
          </cell>
        </row>
        <row r="31">
          <cell r="D31">
            <v>0</v>
          </cell>
          <cell r="E31">
            <v>0</v>
          </cell>
        </row>
        <row r="32">
          <cell r="D32">
            <v>0</v>
          </cell>
          <cell r="E32">
            <v>0</v>
          </cell>
          <cell r="F32">
            <v>2.1999999999999999E-2</v>
          </cell>
        </row>
        <row r="33">
          <cell r="D33">
            <v>0</v>
          </cell>
          <cell r="E33">
            <v>0</v>
          </cell>
        </row>
        <row r="39">
          <cell r="D39" t="str">
            <v>Mary C. O'Brien Accommodation School District</v>
          </cell>
        </row>
        <row r="40">
          <cell r="D40" t="str">
            <v>Basic Calculations For Equalization Assistance</v>
          </cell>
        </row>
        <row r="41">
          <cell r="F41" t="str">
            <v>Is Small Isolated School District:</v>
          </cell>
        </row>
        <row r="43">
          <cell r="D43" t="str">
            <v>Non-AOI 
ADM</v>
          </cell>
          <cell r="F43" t="str">
            <v>AOI-FT 
ADM</v>
          </cell>
          <cell r="H43" t="str">
            <v>AOI-PT 
ADM</v>
          </cell>
        </row>
        <row r="44">
          <cell r="D44">
            <v>296.79250000000002</v>
          </cell>
          <cell r="F44">
            <v>0</v>
          </cell>
          <cell r="H44">
            <v>0</v>
          </cell>
        </row>
        <row r="45">
          <cell r="D45">
            <v>23.8352</v>
          </cell>
          <cell r="E45" t="str">
            <v>+</v>
          </cell>
          <cell r="F45">
            <v>0</v>
          </cell>
          <cell r="H45">
            <v>0</v>
          </cell>
        </row>
        <row r="46">
          <cell r="D46">
            <v>320.6277</v>
          </cell>
          <cell r="E46" t="str">
            <v>=</v>
          </cell>
          <cell r="F46">
            <v>0</v>
          </cell>
          <cell r="H46">
            <v>0</v>
          </cell>
        </row>
        <row r="47">
          <cell r="D47">
            <v>1</v>
          </cell>
          <cell r="E47" t="str">
            <v>x</v>
          </cell>
          <cell r="F47">
            <v>0.95</v>
          </cell>
          <cell r="H47">
            <v>0.85</v>
          </cell>
        </row>
        <row r="51">
          <cell r="H51">
            <v>320.62768299999999</v>
          </cell>
        </row>
      </sheetData>
      <sheetData sheetId="17">
        <row r="6">
          <cell r="D6" t="str">
            <v>Yes</v>
          </cell>
        </row>
        <row r="7">
          <cell r="D7" t="str">
            <v>Yes</v>
          </cell>
        </row>
        <row r="9">
          <cell r="D9" t="str">
            <v>Yes</v>
          </cell>
        </row>
        <row r="10">
          <cell r="D10" t="str">
            <v>Yes</v>
          </cell>
        </row>
        <row r="12">
          <cell r="C12" t="str">
            <v>SFPaymentTeam@azed.gov</v>
          </cell>
        </row>
        <row r="13">
          <cell r="D13" t="str">
            <v>Yes</v>
          </cell>
        </row>
        <row r="14">
          <cell r="C14" t="str">
            <v>A district authorized by ADE to continue participation in Dropout Prevention Programs for FY 2024 pursuant to Laws 1992, Ch. 305, §32 and Laws 2000, Ch. 398, §2, must budget the additional amount on this line.</v>
          </cell>
        </row>
        <row r="17">
          <cell r="C17" t="str">
            <v>http://www.azed.gov/mowr/</v>
          </cell>
        </row>
        <row r="22">
          <cell r="C22" t="str">
            <v>Districts participating in the National School Lunch Program are required to budget a portion of their state revenues to support the operation of their food service program. Districts should budget in the M&amp;O Fund any amounts that will be expended during the 2024 school year for the operation of the food service program. Any questions related to the state matching requirements should be directed to ADE’s Health &amp; Nutrition Services at (602) 542‑8700.
Budget Revision
Districts that have not already budgeted for the state matching requirements, should include any amounts to be expended for their food service program in the M&amp;O Fund on this line before May 15. ADE’s Health &amp; Nutrition Services will verify that amounts budgeted were spent when the annual financial reports are submitted.</v>
          </cell>
          <cell r="D22" t="str">
            <v>Yes</v>
          </cell>
        </row>
        <row r="23">
          <cell r="C23" t="str">
            <v xml:space="preserve">The Classroom Site Fund (CSF) is a budget-controlled fund that must be used to supplement, rather than supplant, existing monies. Expenditures made from the Classroom Site Fund (010) should be made in accordance with the requirements of A.R.S. §15-977. Districts may establish any CSF subfunds 011-019 to track monies for specific allowable purposes or separately account for carryover balances and other one-time CSF monies.  One total budget for all Classroom Site monies must be reported here, in Fund 010. 
 </v>
          </cell>
        </row>
        <row r="24">
          <cell r="C24" t="str">
            <v xml:space="preserve">Line 4 should include expenditures for teacher liability insurance premiums made from Fund 010. </v>
          </cell>
        </row>
        <row r="26">
          <cell r="D26" t="str">
            <v>Yes</v>
          </cell>
        </row>
        <row r="27">
          <cell r="D27" t="str">
            <v>Yes</v>
          </cell>
        </row>
        <row r="31">
          <cell r="E31" t="str">
            <v>Added a column for districts to budget costs for Short-term Noninstructional Software Subscriptions.</v>
          </cell>
        </row>
        <row r="32">
          <cell r="D32" t="str">
            <v>Yes</v>
          </cell>
        </row>
        <row r="38">
          <cell r="E38" t="str">
            <v>Laws 2023, Chapter 142, §2 repealed A.R.S. §15-249.08, which had established Fund 457—Results-based Funding. Removed line 27 on Page 6 and renumbered the lines below.</v>
          </cell>
        </row>
        <row r="47">
          <cell r="D47" t="str">
            <v>Yes</v>
          </cell>
        </row>
        <row r="49">
          <cell r="D49" t="str">
            <v>Yes</v>
          </cell>
        </row>
        <row r="57">
          <cell r="D57" t="str">
            <v>Yes</v>
          </cell>
        </row>
        <row r="58">
          <cell r="D58" t="str">
            <v>Yes</v>
          </cell>
        </row>
        <row r="60">
          <cell r="D60" t="str">
            <v>Yes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District Contacts"/>
      <sheetName val="Page 1"/>
      <sheetName val="Page 2"/>
      <sheetName val="Page 3"/>
      <sheetName val="Page 4"/>
      <sheetName val="Page 5"/>
      <sheetName val="Page 6"/>
      <sheetName val="Page 7"/>
      <sheetName val="Page 8"/>
      <sheetName val="Supplement"/>
      <sheetName val="Summary Page 1"/>
      <sheetName val="Summary Page 2"/>
      <sheetName val="Truth in Tax"/>
      <sheetName val="Data Entry"/>
      <sheetName val="Calculations"/>
      <sheetName val="BSA55"/>
      <sheetName val="Instructions"/>
      <sheetName val="2023EXPBUD"/>
    </sheetNames>
    <definedNames>
      <definedName name="SummAdjacentWaysPY" refersTo="='Summary Page 2'!$C$15"/>
      <definedName name="SummAuxOpsPY" refersTo="='Summary Page 2'!$C$18"/>
      <definedName name="SummBondBuildingPY" refersTo="='Summary Page 2'!$C$19"/>
      <definedName name="SummCompInstrPY" refersTo="='Summary Page 2'!$C$9"/>
      <definedName name="SummCSFPY" refersTo="='Summary Page 2'!$C$10"/>
      <definedName name="SummDebtServicePY" refersTo="='Summary Page 2'!$C$16"/>
      <definedName name="SummELLPY" refersTo="='Summary Page 2'!$C$8"/>
      <definedName name="SummFedProjectsPY" refersTo="='Summary Page 2'!$C$11"/>
      <definedName name="SummFoodServicePY" refersTo="='Summary Page 2'!$C$20"/>
      <definedName name="SummInstImprovPY" refersTo="='Summary Page 2'!$C$7"/>
      <definedName name="SummMOPY" refersTo="='Summary Page 2'!$C$6"/>
      <definedName name="SummNSFPY" refersTo="='Summary Page 2'!$C$14"/>
      <definedName name="SummOtherPY" refersTo="='Summary Page 2'!$C$21"/>
      <definedName name="SummSchoolPlantPY" refersTo="='Summary Page 2'!$C$17"/>
      <definedName name="SummStateProjectsPY" refersTo="='Summary Page 2'!$C$12"/>
      <definedName name="SummUCOPY" refersTo="='Summary Page 2'!$C$13"/>
    </definedNames>
    <sheetDataSet>
      <sheetData sheetId="0"/>
      <sheetData sheetId="1"/>
      <sheetData sheetId="2">
        <row r="7">
          <cell r="L7">
            <v>2802167</v>
          </cell>
        </row>
      </sheetData>
      <sheetData sheetId="3">
        <row r="7">
          <cell r="G7">
            <v>533182</v>
          </cell>
        </row>
      </sheetData>
      <sheetData sheetId="4">
        <row r="6">
          <cell r="K6">
            <v>319660</v>
          </cell>
        </row>
      </sheetData>
      <sheetData sheetId="5">
        <row r="8">
          <cell r="K8">
            <v>0</v>
          </cell>
        </row>
      </sheetData>
      <sheetData sheetId="6">
        <row r="8">
          <cell r="G8">
            <v>0</v>
          </cell>
        </row>
      </sheetData>
      <sheetData sheetId="7">
        <row r="5">
          <cell r="T5">
            <v>0</v>
          </cell>
        </row>
      </sheetData>
      <sheetData sheetId="8">
        <row r="36">
          <cell r="J36">
            <v>0</v>
          </cell>
        </row>
      </sheetData>
      <sheetData sheetId="9">
        <row r="32">
          <cell r="K32">
            <v>1802516</v>
          </cell>
        </row>
      </sheetData>
      <sheetData sheetId="10">
        <row r="7">
          <cell r="M7">
            <v>0</v>
          </cell>
        </row>
      </sheetData>
      <sheetData sheetId="11">
        <row r="32">
          <cell r="C32">
            <v>2046039</v>
          </cell>
          <cell r="E32">
            <v>252500</v>
          </cell>
        </row>
        <row r="34">
          <cell r="C34">
            <v>333063</v>
          </cell>
          <cell r="E34">
            <v>20500</v>
          </cell>
        </row>
        <row r="36">
          <cell r="C36">
            <v>646</v>
          </cell>
          <cell r="E36">
            <v>48580</v>
          </cell>
        </row>
        <row r="37">
          <cell r="C37">
            <v>847563</v>
          </cell>
          <cell r="E37">
            <v>97500</v>
          </cell>
        </row>
        <row r="38">
          <cell r="C38">
            <v>450000</v>
          </cell>
          <cell r="E38">
            <v>491016</v>
          </cell>
        </row>
        <row r="39">
          <cell r="C39">
            <v>0</v>
          </cell>
          <cell r="E39">
            <v>0</v>
          </cell>
        </row>
        <row r="40">
          <cell r="C40">
            <v>126725</v>
          </cell>
          <cell r="E40">
            <v>7209</v>
          </cell>
        </row>
        <row r="41">
          <cell r="C41">
            <v>0</v>
          </cell>
          <cell r="E41">
            <v>0</v>
          </cell>
        </row>
        <row r="42">
          <cell r="C42">
            <v>0</v>
          </cell>
          <cell r="E42">
            <v>0</v>
          </cell>
        </row>
        <row r="43">
          <cell r="C43">
            <v>0</v>
          </cell>
          <cell r="E43">
            <v>0</v>
          </cell>
        </row>
        <row r="45">
          <cell r="C45">
            <v>237410</v>
          </cell>
          <cell r="E45">
            <v>12000</v>
          </cell>
        </row>
        <row r="47">
          <cell r="C47">
            <v>124350</v>
          </cell>
          <cell r="E47">
            <v>78800</v>
          </cell>
        </row>
        <row r="49">
          <cell r="C49">
            <v>54500</v>
          </cell>
          <cell r="E49">
            <v>3300</v>
          </cell>
        </row>
        <row r="50">
          <cell r="C50">
            <v>0</v>
          </cell>
          <cell r="E50">
            <v>3000</v>
          </cell>
        </row>
        <row r="51">
          <cell r="C51">
            <v>0</v>
          </cell>
          <cell r="E51">
            <v>0</v>
          </cell>
        </row>
        <row r="52">
          <cell r="C52">
            <v>0</v>
          </cell>
          <cell r="E52">
            <v>0</v>
          </cell>
        </row>
        <row r="53">
          <cell r="C53">
            <v>0</v>
          </cell>
          <cell r="E53">
            <v>0</v>
          </cell>
        </row>
        <row r="55">
          <cell r="C55">
            <v>422885</v>
          </cell>
          <cell r="E55">
            <v>91665</v>
          </cell>
        </row>
        <row r="56">
          <cell r="C56">
            <v>0</v>
          </cell>
          <cell r="E56">
            <v>0</v>
          </cell>
        </row>
        <row r="57">
          <cell r="C57">
            <v>0</v>
          </cell>
          <cell r="E57">
            <v>0</v>
          </cell>
        </row>
        <row r="58">
          <cell r="C58">
            <v>0</v>
          </cell>
          <cell r="E58">
            <v>0</v>
          </cell>
        </row>
        <row r="60">
          <cell r="C60">
            <v>53000</v>
          </cell>
          <cell r="E60">
            <v>0</v>
          </cell>
        </row>
      </sheetData>
      <sheetData sheetId="12">
        <row r="6">
          <cell r="C6">
            <v>5802251</v>
          </cell>
        </row>
        <row r="7">
          <cell r="C7">
            <v>50000</v>
          </cell>
        </row>
        <row r="8">
          <cell r="C8">
            <v>0</v>
          </cell>
        </row>
        <row r="9">
          <cell r="C9">
            <v>0</v>
          </cell>
        </row>
        <row r="10">
          <cell r="C10">
            <v>357097</v>
          </cell>
        </row>
        <row r="11">
          <cell r="C11">
            <v>1422393</v>
          </cell>
        </row>
        <row r="12">
          <cell r="C12">
            <v>86007</v>
          </cell>
        </row>
        <row r="13">
          <cell r="C13">
            <v>1382653</v>
          </cell>
        </row>
        <row r="14">
          <cell r="C14">
            <v>0</v>
          </cell>
        </row>
        <row r="15">
          <cell r="C15">
            <v>0</v>
          </cell>
        </row>
        <row r="16">
          <cell r="C16">
            <v>0</v>
          </cell>
        </row>
        <row r="17">
          <cell r="C17">
            <v>0</v>
          </cell>
        </row>
        <row r="18">
          <cell r="C18">
            <v>0</v>
          </cell>
        </row>
        <row r="19">
          <cell r="C19">
            <v>0</v>
          </cell>
        </row>
        <row r="20">
          <cell r="C20">
            <v>175000</v>
          </cell>
        </row>
        <row r="21">
          <cell r="C21">
            <v>139570</v>
          </cell>
        </row>
      </sheetData>
      <sheetData sheetId="13">
        <row r="7">
          <cell r="I7">
            <v>3245208</v>
          </cell>
        </row>
      </sheetData>
      <sheetData sheetId="14"/>
      <sheetData sheetId="15"/>
      <sheetData sheetId="16">
        <row r="91">
          <cell r="E91">
            <v>320117.55</v>
          </cell>
        </row>
      </sheetData>
      <sheetData sheetId="17"/>
      <sheetData sheetId="1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ttaylor@pinalcso.org" TargetMode="External"/><Relationship Id="rId1" Type="http://schemas.openxmlformats.org/officeDocument/2006/relationships/hyperlink" Target="https://azauditor.sharepoint.com/sites/ASDonline/School%20District%20Budget/FY%202024%20Budget%20Forms/Prohibited%20formula%20characters/Files%20from%20ADE%203-27-23/Summ_Page1_StudentCoun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134"/>
  <sheetViews>
    <sheetView showGridLines="0" tabSelected="1" workbookViewId="0">
      <selection activeCell="A7" sqref="A7:L7"/>
    </sheetView>
  </sheetViews>
  <sheetFormatPr defaultColWidth="9.42578125" defaultRowHeight="12.75"/>
  <cols>
    <col min="1" max="1" width="20.28515625" style="6" customWidth="1"/>
    <col min="2" max="2" width="6.42578125" style="6" customWidth="1"/>
    <col min="3" max="3" width="10.5703125" style="6" customWidth="1"/>
    <col min="4" max="5" width="11" style="6" customWidth="1"/>
    <col min="6" max="7" width="5.7109375" style="6" customWidth="1"/>
    <col min="8" max="8" width="10.7109375" style="6" customWidth="1"/>
    <col min="9" max="9" width="11" style="6" customWidth="1"/>
    <col min="10" max="10" width="12.7109375" style="6" customWidth="1"/>
    <col min="11" max="12" width="5.7109375" style="6" customWidth="1"/>
    <col min="13" max="13" width="9.42578125" style="6" customWidth="1"/>
    <col min="14" max="14" width="7.5703125" style="6" customWidth="1"/>
    <col min="15" max="15" width="13" style="6" customWidth="1"/>
    <col min="16" max="17" width="9.42578125" style="6" customWidth="1"/>
    <col min="18" max="18" width="13.5703125" style="6" customWidth="1"/>
    <col min="19" max="20" width="9.42578125" style="6" customWidth="1"/>
    <col min="21" max="16384" width="9.42578125" style="6"/>
  </cols>
  <sheetData>
    <row r="1" spans="1:24" ht="12.75" customHeight="1">
      <c r="A1"/>
      <c r="B1" s="4" t="s">
        <v>17</v>
      </c>
      <c r="C1" s="5" t="str">
        <f>[1]Cover!$C$1</f>
        <v>Mary C. O'Brien Accommodation School District</v>
      </c>
      <c r="D1" s="5"/>
      <c r="F1"/>
      <c r="G1"/>
      <c r="H1"/>
      <c r="I1" s="4" t="s">
        <v>16</v>
      </c>
      <c r="J1" s="7" t="s">
        <v>141</v>
      </c>
      <c r="K1" s="8"/>
      <c r="L1" s="9"/>
      <c r="M1" s="10" t="s">
        <v>131</v>
      </c>
      <c r="N1" s="9"/>
      <c r="O1"/>
      <c r="P1" s="11"/>
      <c r="Q1" s="11"/>
      <c r="R1" s="11"/>
      <c r="S1" s="11"/>
      <c r="T1" s="11"/>
      <c r="U1" s="11"/>
      <c r="V1" s="11"/>
      <c r="W1" s="11"/>
      <c r="X1" s="12"/>
    </row>
    <row r="2" spans="1:24">
      <c r="A2" s="4"/>
      <c r="B2" s="4"/>
      <c r="C2" s="13"/>
      <c r="D2" s="4"/>
      <c r="E2" s="4"/>
      <c r="F2"/>
      <c r="G2"/>
      <c r="H2"/>
      <c r="I2" s="14"/>
      <c r="J2" s="9"/>
      <c r="K2" s="9"/>
      <c r="L2" s="9"/>
      <c r="M2" s="10" t="s">
        <v>132</v>
      </c>
      <c r="N2" s="9"/>
      <c r="O2"/>
      <c r="P2" s="11"/>
      <c r="Q2" s="11"/>
      <c r="R2" s="11"/>
      <c r="S2" s="11"/>
      <c r="T2" s="11"/>
      <c r="U2" s="11"/>
      <c r="V2" s="11"/>
      <c r="W2" s="11"/>
      <c r="X2" s="12"/>
    </row>
    <row r="3" spans="1:24" ht="29.25" customHeight="1">
      <c r="A3" s="200" t="str">
        <f>IF(ISNUMBER(SEARCH("Revised*",K22)),M1,M2)</f>
        <v>This is a notification that the above mentioned School District will be having a public hearing and board meeting to adopt its Fiscal Year 2024 Expenditure Budget.</v>
      </c>
      <c r="B3" s="200"/>
      <c r="C3" s="200"/>
      <c r="D3" s="200"/>
      <c r="E3" s="200"/>
      <c r="F3" s="200"/>
      <c r="G3" s="200"/>
      <c r="H3" s="200"/>
      <c r="I3" s="200"/>
      <c r="J3" s="200"/>
      <c r="K3" s="200"/>
      <c r="L3" s="200"/>
      <c r="M3"/>
      <c r="N3" s="11"/>
      <c r="O3"/>
      <c r="P3" s="11"/>
      <c r="Q3" s="11"/>
      <c r="R3" s="11"/>
      <c r="S3" s="11"/>
      <c r="T3" s="11"/>
      <c r="U3" s="11"/>
      <c r="V3" s="11"/>
      <c r="W3" s="11"/>
      <c r="X3" s="11"/>
    </row>
    <row r="4" spans="1:24">
      <c r="A4"/>
      <c r="B4"/>
      <c r="C4"/>
      <c r="D4"/>
      <c r="E4"/>
      <c r="F4"/>
      <c r="G4"/>
      <c r="H4"/>
      <c r="I4"/>
      <c r="J4"/>
      <c r="K4"/>
      <c r="L4"/>
      <c r="M4"/>
      <c r="N4"/>
      <c r="O4"/>
      <c r="P4"/>
      <c r="Q4"/>
      <c r="R4"/>
      <c r="S4"/>
      <c r="T4"/>
      <c r="U4"/>
      <c r="V4"/>
      <c r="W4"/>
      <c r="X4"/>
    </row>
    <row r="5" spans="1:24">
      <c r="A5"/>
      <c r="B5" s="4" t="s">
        <v>2</v>
      </c>
      <c r="C5" s="211">
        <v>45106</v>
      </c>
      <c r="D5" s="211"/>
      <c r="E5"/>
      <c r="F5"/>
      <c r="G5"/>
      <c r="H5" s="4" t="s">
        <v>3</v>
      </c>
      <c r="I5" s="212">
        <v>0.33333333333333331</v>
      </c>
      <c r="J5" s="212"/>
      <c r="K5" s="15"/>
      <c r="L5"/>
      <c r="M5"/>
      <c r="N5"/>
      <c r="O5"/>
      <c r="P5"/>
      <c r="Q5"/>
      <c r="R5"/>
      <c r="S5"/>
      <c r="T5"/>
      <c r="U5"/>
      <c r="V5"/>
      <c r="W5"/>
      <c r="X5"/>
    </row>
    <row r="6" spans="1:24">
      <c r="A6" s="4"/>
      <c r="B6" s="4"/>
      <c r="C6"/>
      <c r="D6"/>
      <c r="E6"/>
      <c r="F6"/>
      <c r="G6"/>
      <c r="H6"/>
      <c r="I6"/>
      <c r="J6"/>
      <c r="K6"/>
      <c r="L6"/>
      <c r="M6"/>
      <c r="N6"/>
      <c r="O6"/>
      <c r="P6"/>
      <c r="Q6"/>
      <c r="R6"/>
      <c r="S6"/>
      <c r="T6"/>
      <c r="U6"/>
      <c r="V6"/>
      <c r="W6"/>
      <c r="X6"/>
    </row>
    <row r="7" spans="1:24">
      <c r="A7" s="213" t="s">
        <v>15</v>
      </c>
      <c r="B7" s="213"/>
      <c r="C7" s="213"/>
      <c r="D7" s="213"/>
      <c r="E7" s="213"/>
      <c r="F7" s="213"/>
      <c r="G7" s="213"/>
      <c r="H7" s="213"/>
      <c r="I7" s="213"/>
      <c r="J7" s="213"/>
      <c r="K7" s="213"/>
      <c r="L7" s="213"/>
      <c r="M7"/>
      <c r="N7"/>
      <c r="O7"/>
      <c r="P7"/>
      <c r="Q7"/>
      <c r="R7"/>
      <c r="S7"/>
      <c r="T7"/>
      <c r="U7"/>
      <c r="V7"/>
      <c r="W7"/>
      <c r="X7"/>
    </row>
    <row r="8" spans="1:24">
      <c r="A8"/>
      <c r="B8" s="4" t="s">
        <v>4</v>
      </c>
      <c r="C8" s="314" t="s">
        <v>142</v>
      </c>
      <c r="D8" s="209"/>
      <c r="E8" s="209"/>
      <c r="F8" s="209"/>
      <c r="G8" s="209"/>
      <c r="H8" s="209"/>
      <c r="I8" s="209"/>
      <c r="J8"/>
      <c r="K8"/>
      <c r="L8"/>
      <c r="M8"/>
      <c r="N8"/>
      <c r="O8"/>
      <c r="P8"/>
      <c r="Q8"/>
      <c r="R8"/>
      <c r="S8"/>
      <c r="T8"/>
      <c r="U8"/>
      <c r="V8"/>
      <c r="W8"/>
      <c r="X8"/>
    </row>
    <row r="9" spans="1:24">
      <c r="A9"/>
      <c r="B9" s="4" t="s">
        <v>5</v>
      </c>
      <c r="C9" s="314" t="s">
        <v>143</v>
      </c>
      <c r="D9" s="209"/>
      <c r="E9" s="4" t="s">
        <v>7</v>
      </c>
      <c r="F9" s="315" t="s">
        <v>144</v>
      </c>
      <c r="G9" s="187"/>
      <c r="H9" s="187"/>
      <c r="I9" s="187"/>
      <c r="J9"/>
      <c r="K9"/>
      <c r="L9"/>
      <c r="M9"/>
      <c r="N9"/>
      <c r="O9"/>
      <c r="P9"/>
      <c r="Q9"/>
      <c r="R9"/>
      <c r="S9"/>
      <c r="T9"/>
      <c r="U9"/>
      <c r="V9"/>
      <c r="W9"/>
      <c r="X9"/>
    </row>
    <row r="10" spans="1:24">
      <c r="A10"/>
      <c r="B10" s="4" t="s">
        <v>6</v>
      </c>
      <c r="C10" s="316" t="s">
        <v>145</v>
      </c>
      <c r="D10" s="210"/>
      <c r="E10" s="4" t="s">
        <v>8</v>
      </c>
      <c r="F10" s="16" t="s">
        <v>0</v>
      </c>
      <c r="G10" s="13"/>
      <c r="H10" s="4" t="s">
        <v>9</v>
      </c>
      <c r="I10" s="1">
        <v>85132</v>
      </c>
      <c r="J10"/>
      <c r="K10"/>
      <c r="L10"/>
      <c r="M10"/>
      <c r="N10"/>
      <c r="O10"/>
      <c r="P10"/>
      <c r="Q10"/>
      <c r="R10"/>
      <c r="S10"/>
      <c r="T10"/>
      <c r="U10"/>
      <c r="V10"/>
      <c r="W10"/>
      <c r="X10"/>
    </row>
    <row r="11" spans="1:24">
      <c r="A11" s="4"/>
      <c r="B11" s="4"/>
      <c r="C11" s="4"/>
      <c r="D11" s="13"/>
      <c r="E11" s="4"/>
      <c r="F11" s="13"/>
      <c r="G11" s="13"/>
      <c r="H11"/>
      <c r="I11"/>
      <c r="J11"/>
      <c r="K11"/>
      <c r="L11"/>
      <c r="M11"/>
      <c r="N11"/>
      <c r="O11"/>
      <c r="P11"/>
      <c r="Q11"/>
      <c r="R11"/>
      <c r="S11"/>
      <c r="T11"/>
      <c r="U11"/>
      <c r="V11"/>
      <c r="W11"/>
      <c r="X11"/>
    </row>
    <row r="12" spans="1:24" ht="17.25" customHeight="1">
      <c r="A12" s="186" t="s">
        <v>1</v>
      </c>
      <c r="B12" s="186"/>
      <c r="C12" s="186"/>
      <c r="D12" s="186"/>
      <c r="E12" s="186"/>
      <c r="F12" s="186"/>
      <c r="G12" s="186"/>
      <c r="H12" s="186"/>
      <c r="I12" s="186"/>
      <c r="J12" s="186"/>
      <c r="K12" s="186"/>
      <c r="L12" s="186"/>
      <c r="M12"/>
      <c r="N12"/>
      <c r="O12"/>
      <c r="P12"/>
      <c r="Q12"/>
      <c r="R12"/>
      <c r="S12"/>
      <c r="T12"/>
      <c r="U12"/>
      <c r="V12"/>
      <c r="W12"/>
      <c r="X12"/>
    </row>
    <row r="13" spans="1:24">
      <c r="A13"/>
      <c r="B13" s="4" t="s">
        <v>10</v>
      </c>
      <c r="C13" s="315" t="s">
        <v>146</v>
      </c>
      <c r="D13" s="187"/>
      <c r="H13" s="4" t="s">
        <v>12</v>
      </c>
      <c r="I13" s="315" t="s">
        <v>147</v>
      </c>
      <c r="J13" s="187"/>
      <c r="K13" s="13"/>
      <c r="L13"/>
      <c r="M13"/>
      <c r="N13"/>
      <c r="O13"/>
      <c r="P13"/>
      <c r="Q13"/>
      <c r="R13"/>
      <c r="S13"/>
      <c r="T13"/>
      <c r="U13"/>
      <c r="V13"/>
      <c r="W13"/>
      <c r="X13"/>
    </row>
    <row r="14" spans="1:24">
      <c r="A14"/>
      <c r="B14" s="4" t="s">
        <v>11</v>
      </c>
      <c r="C14" s="317" t="s">
        <v>148</v>
      </c>
      <c r="D14" s="199"/>
      <c r="E14"/>
      <c r="F14"/>
      <c r="G14"/>
      <c r="H14" s="4" t="s">
        <v>13</v>
      </c>
      <c r="I14" s="199"/>
      <c r="J14" s="199"/>
      <c r="K14" s="13"/>
      <c r="L14"/>
      <c r="M14"/>
      <c r="N14"/>
      <c r="O14"/>
      <c r="P14"/>
      <c r="Q14"/>
      <c r="R14"/>
      <c r="S14"/>
      <c r="T14"/>
      <c r="U14"/>
      <c r="V14"/>
      <c r="W14"/>
      <c r="X14"/>
    </row>
    <row r="15" spans="1:24">
      <c r="H15"/>
      <c r="I15"/>
      <c r="J15"/>
      <c r="K15"/>
      <c r="L15"/>
      <c r="M15"/>
      <c r="N15"/>
      <c r="O15"/>
      <c r="P15"/>
      <c r="Q15"/>
      <c r="R15"/>
      <c r="S15"/>
      <c r="T15"/>
      <c r="U15"/>
      <c r="V15"/>
      <c r="W15"/>
      <c r="X15"/>
    </row>
    <row r="16" spans="1:24" ht="27.75" customHeight="1">
      <c r="A16" s="203" t="s">
        <v>18</v>
      </c>
      <c r="B16" s="203"/>
      <c r="C16" s="203"/>
      <c r="D16" s="203"/>
      <c r="E16" s="203"/>
      <c r="F16" s="203"/>
      <c r="G16" s="203"/>
      <c r="H16" s="203"/>
      <c r="I16" s="203"/>
      <c r="J16" s="203"/>
      <c r="K16" s="203"/>
      <c r="L16" s="203"/>
      <c r="M16" s="17"/>
      <c r="N16" s="17"/>
      <c r="O16" s="17"/>
      <c r="P16"/>
      <c r="Q16"/>
      <c r="R16"/>
      <c r="S16"/>
      <c r="T16"/>
      <c r="U16"/>
      <c r="V16"/>
      <c r="W16"/>
      <c r="X16"/>
    </row>
    <row r="17" spans="1:24">
      <c r="H17"/>
      <c r="I17"/>
      <c r="J17"/>
      <c r="K17"/>
      <c r="L17"/>
      <c r="M17"/>
      <c r="N17"/>
      <c r="O17"/>
      <c r="P17"/>
      <c r="Q17"/>
      <c r="R17"/>
      <c r="S17"/>
      <c r="T17"/>
      <c r="U17"/>
      <c r="V17"/>
      <c r="W17"/>
      <c r="X17"/>
    </row>
    <row r="18" spans="1:24">
      <c r="A18" s="204" t="s">
        <v>14</v>
      </c>
      <c r="B18" s="204"/>
      <c r="C18" s="204"/>
      <c r="D18" s="204"/>
      <c r="E18" s="204"/>
      <c r="F18" s="204"/>
      <c r="G18" s="18"/>
      <c r="H18"/>
      <c r="I18"/>
      <c r="J18"/>
      <c r="K18"/>
      <c r="L18"/>
      <c r="M18"/>
      <c r="N18"/>
      <c r="O18"/>
      <c r="P18"/>
      <c r="Q18"/>
      <c r="R18"/>
      <c r="S18"/>
      <c r="T18"/>
      <c r="U18"/>
      <c r="V18"/>
      <c r="W18"/>
      <c r="X18"/>
    </row>
    <row r="19" spans="1:24" ht="39" customHeight="1">
      <c r="A19" s="205"/>
      <c r="B19" s="206"/>
      <c r="C19" s="206"/>
      <c r="D19" s="206"/>
      <c r="E19" s="206"/>
      <c r="F19" s="206"/>
      <c r="G19" s="206"/>
      <c r="H19" s="206"/>
      <c r="I19" s="206"/>
      <c r="J19" s="206"/>
      <c r="K19" s="206"/>
      <c r="L19" s="207"/>
      <c r="M19"/>
      <c r="N19"/>
      <c r="O19"/>
      <c r="P19"/>
      <c r="Q19"/>
      <c r="R19"/>
      <c r="S19"/>
      <c r="T19"/>
      <c r="U19"/>
      <c r="V19"/>
      <c r="W19"/>
      <c r="X19"/>
    </row>
    <row r="20" spans="1:24">
      <c r="A20"/>
      <c r="B20"/>
      <c r="C20"/>
      <c r="D20"/>
      <c r="E20"/>
      <c r="F20"/>
      <c r="G20"/>
      <c r="H20"/>
      <c r="I20"/>
      <c r="J20"/>
      <c r="K20"/>
      <c r="L20"/>
      <c r="M20" s="19" t="s">
        <v>23</v>
      </c>
      <c r="N20"/>
      <c r="O20"/>
      <c r="P20"/>
      <c r="Q20"/>
      <c r="R20"/>
      <c r="S20"/>
      <c r="T20"/>
      <c r="U20"/>
      <c r="V20"/>
      <c r="W20"/>
      <c r="X20"/>
    </row>
    <row r="21" spans="1:24">
      <c r="A21" s="208" t="str">
        <f>IF(ISNUMBER(SEARCH("Revised*",K22)),M27,M26)</f>
        <v xml:space="preserve"> SUMMARY OF SCHOOL DISTRICT PROPOSED EXPENDITURE BUDGET</v>
      </c>
      <c r="B21" s="208"/>
      <c r="C21" s="208"/>
      <c r="D21" s="208"/>
      <c r="E21" s="208"/>
      <c r="F21" s="208"/>
      <c r="G21" s="208"/>
      <c r="H21" s="208"/>
      <c r="I21"/>
      <c r="J21" s="20" t="s">
        <v>19</v>
      </c>
      <c r="K21" s="190" t="str">
        <f>J1</f>
        <v>110100000</v>
      </c>
      <c r="L21" s="190"/>
      <c r="M21" s="19" t="s">
        <v>113</v>
      </c>
      <c r="N21"/>
      <c r="O21"/>
      <c r="P21"/>
      <c r="Q21"/>
      <c r="R21"/>
      <c r="S21"/>
      <c r="T21"/>
      <c r="U21"/>
      <c r="V21"/>
      <c r="W21"/>
      <c r="X21"/>
    </row>
    <row r="22" spans="1:24">
      <c r="A22" s="21"/>
      <c r="B22" s="21"/>
      <c r="C22" s="22"/>
      <c r="D22" s="22"/>
      <c r="E22" s="22"/>
      <c r="F22" s="22"/>
      <c r="G22" s="22"/>
      <c r="H22" s="22"/>
      <c r="I22"/>
      <c r="J22" s="23" t="s">
        <v>20</v>
      </c>
      <c r="K22" s="191" t="str">
        <f>'[1]Summary Page 1'!$I$2</f>
        <v>Proposed</v>
      </c>
      <c r="L22" s="191"/>
      <c r="M22"/>
      <c r="N22"/>
      <c r="O22"/>
      <c r="P22"/>
      <c r="Q22"/>
      <c r="R22"/>
      <c r="S22"/>
      <c r="T22"/>
      <c r="U22"/>
      <c r="V22"/>
      <c r="W22"/>
      <c r="X22"/>
    </row>
    <row r="23" spans="1:24">
      <c r="A23" s="24" t="s">
        <v>21</v>
      </c>
      <c r="B23" s="188" t="str">
        <f>'[1]Summary Page 1'!$B$3:$D$3</f>
        <v xml:space="preserve">Mary C. O'Brien Accommodation </v>
      </c>
      <c r="C23" s="188"/>
      <c r="D23" s="188"/>
      <c r="E23" s="25" t="s">
        <v>22</v>
      </c>
      <c r="F23" s="313" t="str">
        <f>'[1]Summary Page 1'!$F$3</f>
        <v>Pinal</v>
      </c>
      <c r="G23" s="214"/>
      <c r="H23" s="26" t="s">
        <v>136</v>
      </c>
      <c r="I23" s="26"/>
      <c r="J23" s="26"/>
      <c r="K23" s="26"/>
      <c r="L23"/>
      <c r="M23" s="19" t="s">
        <v>133</v>
      </c>
      <c r="N23"/>
      <c r="O23"/>
      <c r="P23"/>
      <c r="Q23"/>
      <c r="R23"/>
      <c r="S23"/>
      <c r="T23"/>
      <c r="U23"/>
      <c r="V23"/>
      <c r="W23"/>
      <c r="X23"/>
    </row>
    <row r="24" spans="1:24">
      <c r="A24" s="27" t="str">
        <f>IF(ISNUMBER(SEARCH("Revised*",K22)),M20,M21)</f>
        <v>proposed by the Governing Board on</v>
      </c>
      <c r="B24" s="27"/>
      <c r="C24" s="2" t="s">
        <v>149</v>
      </c>
      <c r="D24" s="27" t="str">
        <f>IF(ISNUMBER(SEARCH("Revised*",K22)),M23,M24)</f>
        <v>, 2023, and that the complete Proposed Expenditure Budget may be reviewed by contacting</v>
      </c>
      <c r="E24" s="27"/>
      <c r="F24"/>
      <c r="G24" s="27"/>
      <c r="H24" s="27"/>
      <c r="I24" s="27"/>
      <c r="J24" s="27"/>
      <c r="K24" s="27"/>
      <c r="L24" s="27"/>
      <c r="M24" s="19" t="s">
        <v>140</v>
      </c>
      <c r="N24"/>
      <c r="O24"/>
      <c r="P24"/>
      <c r="Q24"/>
      <c r="R24"/>
      <c r="S24"/>
      <c r="T24"/>
      <c r="U24"/>
      <c r="V24"/>
      <c r="W24"/>
      <c r="X24"/>
    </row>
    <row r="25" spans="1:24">
      <c r="A25" s="3" t="str">
        <f>'[1]Summary Page 1'!$A$5</f>
        <v>Tonya L. Taylor</v>
      </c>
      <c r="B25" s="189" t="s">
        <v>114</v>
      </c>
      <c r="C25" s="189"/>
      <c r="D25" s="189"/>
      <c r="E25" s="278" t="s">
        <v>147</v>
      </c>
      <c r="F25" s="278"/>
      <c r="G25" s="278"/>
      <c r="H25" s="201" t="s">
        <v>24</v>
      </c>
      <c r="I25" s="201"/>
      <c r="J25" s="201"/>
      <c r="K25" s="27"/>
      <c r="L25"/>
      <c r="M25"/>
      <c r="N25"/>
      <c r="O25"/>
      <c r="P25"/>
      <c r="Q25"/>
      <c r="R25"/>
      <c r="S25"/>
      <c r="T25"/>
      <c r="U25"/>
      <c r="V25"/>
      <c r="W25"/>
      <c r="X25"/>
    </row>
    <row r="26" spans="1:24">
      <c r="A26" s="28"/>
      <c r="B26" s="28"/>
      <c r="C26" s="29"/>
      <c r="D26" s="29"/>
      <c r="E26" s="202"/>
      <c r="F26" s="202"/>
      <c r="G26" s="202"/>
      <c r="H26" s="202"/>
      <c r="I26" s="28"/>
      <c r="J26" s="28"/>
      <c r="K26" s="28"/>
      <c r="L26"/>
      <c r="M26" s="30" t="s">
        <v>117</v>
      </c>
      <c r="N26"/>
      <c r="O26"/>
      <c r="P26"/>
      <c r="Q26"/>
      <c r="R26"/>
      <c r="S26"/>
      <c r="T26"/>
      <c r="U26"/>
      <c r="V26"/>
      <c r="W26"/>
      <c r="X26"/>
    </row>
    <row r="27" spans="1:24">
      <c r="A27" s="28"/>
      <c r="B27" s="28"/>
      <c r="C27" s="29"/>
      <c r="D27" s="29"/>
      <c r="E27" s="192" t="s">
        <v>25</v>
      </c>
      <c r="F27" s="192"/>
      <c r="G27" s="192"/>
      <c r="H27" s="192"/>
      <c r="I27" s="28"/>
      <c r="J27" s="28"/>
      <c r="K27" s="28"/>
      <c r="L27"/>
      <c r="M27" s="30" t="s">
        <v>116</v>
      </c>
      <c r="N27"/>
      <c r="O27"/>
      <c r="P27"/>
      <c r="Q27"/>
      <c r="R27"/>
      <c r="S27"/>
      <c r="T27"/>
      <c r="U27"/>
      <c r="V27"/>
      <c r="W27"/>
      <c r="X27"/>
    </row>
    <row r="28" spans="1:24" ht="8.25" customHeight="1">
      <c r="A28" s="31"/>
      <c r="B28" s="31"/>
      <c r="C28" s="31"/>
      <c r="D28" s="31"/>
      <c r="E28" s="31"/>
      <c r="F28" s="31"/>
      <c r="G28" s="31"/>
      <c r="H28" s="28"/>
      <c r="I28" s="28"/>
      <c r="J28" s="28"/>
      <c r="K28" s="28"/>
      <c r="L28"/>
      <c r="M28"/>
      <c r="N28"/>
      <c r="O28"/>
      <c r="P28"/>
      <c r="Q28"/>
      <c r="R28"/>
      <c r="S28"/>
      <c r="T28"/>
      <c r="U28"/>
      <c r="V28"/>
      <c r="W28"/>
      <c r="X28"/>
    </row>
    <row r="29" spans="1:24" ht="11.25" customHeight="1">
      <c r="A29" s="32" t="s">
        <v>26</v>
      </c>
      <c r="B29" s="33"/>
      <c r="C29" s="34"/>
      <c r="D29" s="35" t="s">
        <v>28</v>
      </c>
      <c r="E29" s="35" t="s">
        <v>29</v>
      </c>
      <c r="F29" s="36" t="s">
        <v>127</v>
      </c>
      <c r="G29" s="37"/>
      <c r="H29" s="38"/>
      <c r="I29" s="39"/>
      <c r="J29" s="39"/>
      <c r="K29" s="39"/>
      <c r="L29" s="40"/>
      <c r="M29"/>
      <c r="N29"/>
      <c r="O29"/>
      <c r="P29"/>
      <c r="Q29"/>
      <c r="R29"/>
      <c r="S29"/>
      <c r="T29"/>
      <c r="U29"/>
      <c r="V29"/>
      <c r="W29"/>
      <c r="X29"/>
    </row>
    <row r="30" spans="1:24" ht="9.75" customHeight="1">
      <c r="A30" s="41"/>
      <c r="B30" s="31"/>
      <c r="C30" s="42" t="s">
        <v>137</v>
      </c>
      <c r="D30" s="42" t="s">
        <v>138</v>
      </c>
      <c r="E30" s="42" t="s">
        <v>139</v>
      </c>
      <c r="F30" s="43" t="s">
        <v>134</v>
      </c>
      <c r="G30" s="44"/>
      <c r="H30" s="45"/>
      <c r="I30" s="46"/>
      <c r="K30" s="193">
        <f>[1]!BudgetYearSalarySumm</f>
        <v>65067</v>
      </c>
      <c r="L30" s="194"/>
      <c r="M30"/>
      <c r="N30"/>
      <c r="O30"/>
      <c r="P30"/>
      <c r="Q30"/>
      <c r="R30"/>
      <c r="S30"/>
      <c r="T30"/>
      <c r="U30"/>
      <c r="V30"/>
      <c r="W30"/>
      <c r="X30"/>
    </row>
    <row r="31" spans="1:24" ht="11.25" customHeight="1">
      <c r="A31" s="184" t="s">
        <v>30</v>
      </c>
      <c r="B31" s="47"/>
      <c r="C31" s="48"/>
      <c r="D31" s="48"/>
      <c r="E31" s="49"/>
      <c r="F31" s="43" t="s">
        <v>135</v>
      </c>
      <c r="G31" s="44"/>
      <c r="H31" s="45"/>
      <c r="I31" s="46"/>
      <c r="K31" s="195">
        <f>[1]!PriorYearSalarySumm</f>
        <v>69777</v>
      </c>
      <c r="L31" s="196"/>
      <c r="M31"/>
      <c r="N31"/>
      <c r="O31"/>
      <c r="P31"/>
      <c r="Q31"/>
      <c r="R31"/>
      <c r="S31"/>
      <c r="T31"/>
      <c r="U31"/>
      <c r="V31"/>
      <c r="W31"/>
      <c r="X31"/>
    </row>
    <row r="32" spans="1:24" ht="10.5" customHeight="1">
      <c r="A32" s="185"/>
      <c r="B32" s="50"/>
      <c r="C32" s="51">
        <f>[1]!TwoPriorYearADM</f>
        <v>196.4194</v>
      </c>
      <c r="D32" s="51">
        <f>[1]!PriorYearADM</f>
        <v>202.23060000000001</v>
      </c>
      <c r="E32" s="52">
        <f>[1]!BudgetYearADM</f>
        <v>202.23060000000001</v>
      </c>
      <c r="F32" s="53" t="s">
        <v>103</v>
      </c>
      <c r="G32" s="44"/>
      <c r="H32" s="45"/>
      <c r="I32" s="46"/>
      <c r="K32" s="197">
        <f>[1]!SalaryIncreaseSumm</f>
        <v>-4710</v>
      </c>
      <c r="L32" s="198"/>
      <c r="M32"/>
      <c r="N32"/>
      <c r="O32"/>
      <c r="P32"/>
      <c r="Q32"/>
      <c r="R32"/>
      <c r="S32"/>
      <c r="T32"/>
      <c r="U32"/>
      <c r="V32"/>
      <c r="W32"/>
      <c r="X32"/>
    </row>
    <row r="33" spans="1:24" ht="11.25" customHeight="1">
      <c r="A33" s="54" t="s">
        <v>27</v>
      </c>
      <c r="B33" s="55"/>
      <c r="C33" s="55"/>
      <c r="D33" s="56" t="s">
        <v>39</v>
      </c>
      <c r="E33" s="56" t="s">
        <v>105</v>
      </c>
      <c r="F33" s="53" t="s">
        <v>104</v>
      </c>
      <c r="G33" s="44"/>
      <c r="H33" s="45"/>
      <c r="I33" s="46"/>
      <c r="K33" s="276">
        <f>[1]!PercentageIncreaseSumm</f>
        <v>-7.0000000000000007E-2</v>
      </c>
      <c r="L33" s="277"/>
      <c r="M33"/>
      <c r="N33"/>
      <c r="O33"/>
      <c r="P33"/>
      <c r="Q33"/>
      <c r="R33"/>
      <c r="S33"/>
      <c r="T33"/>
      <c r="U33"/>
      <c r="V33"/>
      <c r="W33"/>
      <c r="X33"/>
    </row>
    <row r="34" spans="1:24" ht="11.25" customHeight="1">
      <c r="A34" s="242" t="s">
        <v>106</v>
      </c>
      <c r="B34" s="243"/>
      <c r="C34" s="244"/>
      <c r="D34" s="225">
        <f>[1]!PrimTaxRatePYSumm</f>
        <v>0</v>
      </c>
      <c r="E34" s="245">
        <f>[1]!EstTaxRateBudgFYSumm</f>
        <v>0</v>
      </c>
      <c r="F34" s="57"/>
      <c r="G34" s="57"/>
      <c r="H34" s="58"/>
      <c r="I34" s="58"/>
      <c r="J34" s="58"/>
      <c r="K34" s="58"/>
      <c r="L34" s="59"/>
      <c r="M34"/>
      <c r="N34"/>
      <c r="O34"/>
      <c r="P34"/>
      <c r="Q34"/>
      <c r="R34"/>
      <c r="S34"/>
      <c r="T34"/>
      <c r="U34"/>
      <c r="V34"/>
      <c r="W34"/>
      <c r="X34"/>
    </row>
    <row r="35" spans="1:24" ht="12.75" customHeight="1">
      <c r="A35" s="242"/>
      <c r="B35" s="243"/>
      <c r="C35" s="244"/>
      <c r="D35" s="226"/>
      <c r="E35" s="246"/>
      <c r="F35" s="257" t="str">
        <f>IF([1]!SalaryCommentsSumm="","",[1]!SalaryCommentsSumm)</f>
        <v xml:space="preserve">Thru attrition, this district experienced long term certified employees retiring and new employees hired at a lower rate of pay.  
However, an average increase of 3% was given to certified employees overall.
</v>
      </c>
      <c r="G35" s="258"/>
      <c r="H35" s="258"/>
      <c r="I35" s="258"/>
      <c r="J35" s="258"/>
      <c r="K35" s="258"/>
      <c r="L35" s="259"/>
      <c r="M35"/>
      <c r="N35"/>
      <c r="O35"/>
      <c r="P35"/>
      <c r="Q35" s="60"/>
      <c r="R35" s="61"/>
      <c r="S35" s="60"/>
      <c r="T35" s="61"/>
      <c r="U35" s="61"/>
      <c r="V35"/>
      <c r="W35"/>
      <c r="X35"/>
    </row>
    <row r="36" spans="1:24" ht="9.75" customHeight="1">
      <c r="A36" s="242"/>
      <c r="B36" s="243"/>
      <c r="C36" s="244"/>
      <c r="D36" s="227"/>
      <c r="E36" s="247"/>
      <c r="F36" s="260"/>
      <c r="G36" s="261"/>
      <c r="H36" s="261"/>
      <c r="I36" s="261"/>
      <c r="J36" s="261"/>
      <c r="K36" s="261"/>
      <c r="L36" s="262"/>
      <c r="M36"/>
      <c r="N36"/>
      <c r="O36"/>
      <c r="P36"/>
      <c r="Q36" s="62"/>
      <c r="R36" s="63"/>
      <c r="S36" s="64"/>
      <c r="T36" s="64"/>
      <c r="U36" s="61"/>
      <c r="V36"/>
      <c r="W36"/>
      <c r="X36"/>
    </row>
    <row r="37" spans="1:24" ht="12" customHeight="1">
      <c r="A37" s="251" t="s">
        <v>115</v>
      </c>
      <c r="B37" s="252"/>
      <c r="C37" s="253"/>
      <c r="D37" s="248">
        <f>[1]!SecTaxRatePYSumm</f>
        <v>0</v>
      </c>
      <c r="E37" s="249">
        <f>[1]!SecTaxRateBudgFYSumm</f>
        <v>0</v>
      </c>
      <c r="F37" s="260"/>
      <c r="G37" s="261"/>
      <c r="H37" s="261"/>
      <c r="I37" s="261"/>
      <c r="J37" s="261"/>
      <c r="K37" s="261"/>
      <c r="L37" s="262"/>
      <c r="M37"/>
      <c r="N37"/>
      <c r="O37"/>
      <c r="P37"/>
      <c r="Q37" s="62"/>
      <c r="R37" s="45"/>
      <c r="S37" s="46"/>
      <c r="U37" s="65"/>
      <c r="V37"/>
      <c r="W37"/>
      <c r="X37"/>
    </row>
    <row r="38" spans="1:24" ht="11.25" customHeight="1">
      <c r="A38" s="251"/>
      <c r="B38" s="252"/>
      <c r="C38" s="253"/>
      <c r="D38" s="226"/>
      <c r="E38" s="246"/>
      <c r="F38" s="260"/>
      <c r="G38" s="261"/>
      <c r="H38" s="261"/>
      <c r="I38" s="261"/>
      <c r="J38" s="261"/>
      <c r="K38" s="261"/>
      <c r="L38" s="262"/>
      <c r="M38"/>
      <c r="N38"/>
      <c r="O38"/>
      <c r="P38"/>
      <c r="Q38" s="62"/>
      <c r="R38" s="45"/>
      <c r="S38" s="46"/>
      <c r="U38" s="65"/>
      <c r="V38"/>
      <c r="W38"/>
      <c r="X38"/>
    </row>
    <row r="39" spans="1:24" ht="10.5" customHeight="1">
      <c r="A39" s="254"/>
      <c r="B39" s="255"/>
      <c r="C39" s="256"/>
      <c r="D39" s="227"/>
      <c r="E39" s="250"/>
      <c r="F39" s="260"/>
      <c r="G39" s="261"/>
      <c r="H39" s="261"/>
      <c r="I39" s="261"/>
      <c r="J39" s="261"/>
      <c r="K39" s="261"/>
      <c r="L39" s="262"/>
      <c r="M39"/>
      <c r="N39"/>
      <c r="O39"/>
      <c r="P39"/>
      <c r="Q39" s="62"/>
      <c r="R39" s="45"/>
      <c r="S39" s="46"/>
      <c r="U39" s="65"/>
      <c r="V39"/>
      <c r="W39"/>
      <c r="X39"/>
    </row>
    <row r="40" spans="1:24">
      <c r="A40" s="66" t="s">
        <v>112</v>
      </c>
      <c r="B40" s="67"/>
      <c r="C40" s="31"/>
      <c r="D40" s="68" t="s">
        <v>110</v>
      </c>
      <c r="E40" s="69"/>
      <c r="F40" s="260"/>
      <c r="G40" s="261"/>
      <c r="H40" s="261"/>
      <c r="I40" s="261"/>
      <c r="J40" s="261"/>
      <c r="K40" s="261"/>
      <c r="L40" s="262"/>
      <c r="M40"/>
      <c r="N40"/>
      <c r="O40"/>
      <c r="P40"/>
      <c r="Q40" s="62"/>
      <c r="R40" s="45"/>
      <c r="S40" s="46"/>
      <c r="U40" s="70"/>
      <c r="V40"/>
      <c r="W40"/>
      <c r="X40"/>
    </row>
    <row r="41" spans="1:24" ht="11.25" customHeight="1">
      <c r="A41" s="71"/>
      <c r="B41"/>
      <c r="C41" s="31"/>
      <c r="D41" s="25" t="s">
        <v>111</v>
      </c>
      <c r="E41" s="72" t="s">
        <v>118</v>
      </c>
      <c r="F41" s="260"/>
      <c r="G41" s="261"/>
      <c r="H41" s="261"/>
      <c r="I41" s="261"/>
      <c r="J41" s="261"/>
      <c r="K41" s="261"/>
      <c r="L41" s="262"/>
      <c r="M41"/>
      <c r="N41"/>
      <c r="O41"/>
      <c r="P41"/>
      <c r="Q41"/>
      <c r="R41"/>
      <c r="S41"/>
      <c r="T41"/>
      <c r="U41"/>
      <c r="V41"/>
      <c r="W41"/>
      <c r="X41"/>
    </row>
    <row r="42" spans="1:24" ht="14.25" customHeight="1">
      <c r="A42" s="73" t="s">
        <v>107</v>
      </c>
      <c r="B42" s="67"/>
      <c r="D42" s="74">
        <f>[1]!F001TotalExpSumm</f>
        <v>7047001</v>
      </c>
      <c r="E42" s="75">
        <f>[1]!GBLBudgFYSumm</f>
        <v>7047001</v>
      </c>
      <c r="F42" s="260"/>
      <c r="G42" s="261"/>
      <c r="H42" s="261"/>
      <c r="I42" s="261"/>
      <c r="J42" s="261"/>
      <c r="K42" s="261"/>
      <c r="L42" s="262"/>
      <c r="M42"/>
      <c r="N42"/>
      <c r="O42"/>
      <c r="P42"/>
      <c r="Q42"/>
      <c r="R42"/>
      <c r="S42"/>
      <c r="T42"/>
      <c r="U42"/>
      <c r="V42"/>
      <c r="W42"/>
      <c r="X42"/>
    </row>
    <row r="43" spans="1:24" ht="12" customHeight="1">
      <c r="A43" s="73" t="s">
        <v>108</v>
      </c>
      <c r="B43" s="67"/>
      <c r="D43" s="76">
        <f>[1]!CSFExpBudgFYSumm</f>
        <v>475691</v>
      </c>
      <c r="E43" s="77">
        <f>[1]!CSFBLBudgFYSumm</f>
        <v>475691</v>
      </c>
      <c r="F43" s="260"/>
      <c r="G43" s="261"/>
      <c r="H43" s="261"/>
      <c r="I43" s="261"/>
      <c r="J43" s="261"/>
      <c r="K43" s="261"/>
      <c r="L43" s="262"/>
      <c r="M43"/>
      <c r="N43"/>
      <c r="O43"/>
      <c r="P43"/>
      <c r="Q43"/>
      <c r="R43"/>
      <c r="S43"/>
      <c r="T43"/>
      <c r="U43"/>
      <c r="V43"/>
      <c r="W43"/>
      <c r="X43"/>
    </row>
    <row r="44" spans="1:24" ht="12" customHeight="1">
      <c r="A44" s="78" t="s">
        <v>109</v>
      </c>
      <c r="B44" s="79"/>
      <c r="C44" s="80"/>
      <c r="D44" s="81">
        <f>[1]!UCOBudgFYSumm</f>
        <v>1698585</v>
      </c>
      <c r="E44" s="82">
        <f>[1]!UCBLBudgFYSumm</f>
        <v>1698585</v>
      </c>
      <c r="F44" s="263"/>
      <c r="G44" s="264"/>
      <c r="H44" s="264"/>
      <c r="I44" s="264"/>
      <c r="J44" s="264"/>
      <c r="K44" s="264"/>
      <c r="L44" s="265"/>
      <c r="M44"/>
      <c r="N44"/>
      <c r="O44"/>
      <c r="P44"/>
      <c r="Q44"/>
      <c r="R44"/>
      <c r="S44"/>
      <c r="T44"/>
      <c r="U44"/>
      <c r="V44"/>
      <c r="W44"/>
      <c r="X44"/>
    </row>
    <row r="45" spans="1:24" ht="6.75" customHeight="1">
      <c r="A45" s="21"/>
      <c r="B45" s="21"/>
      <c r="C45" s="83"/>
      <c r="D45" s="236"/>
      <c r="E45" s="236"/>
      <c r="F45" s="236"/>
      <c r="G45" s="236"/>
      <c r="H45" s="236"/>
      <c r="I45" s="236"/>
      <c r="J45" s="236"/>
      <c r="K45" s="236"/>
      <c r="L45" s="237"/>
      <c r="M45"/>
      <c r="N45"/>
      <c r="O45"/>
      <c r="P45"/>
      <c r="Q45"/>
      <c r="R45"/>
      <c r="S45"/>
      <c r="T45"/>
      <c r="U45"/>
      <c r="V45"/>
      <c r="W45"/>
      <c r="X45"/>
    </row>
    <row r="46" spans="1:24" ht="4.5" customHeight="1">
      <c r="A46" s="84"/>
      <c r="B46" s="84"/>
      <c r="C46" s="84"/>
      <c r="D46" s="238"/>
      <c r="E46" s="238"/>
      <c r="F46" s="238"/>
      <c r="G46" s="238"/>
      <c r="H46" s="238"/>
      <c r="I46" s="238"/>
      <c r="J46" s="238"/>
      <c r="K46" s="238"/>
      <c r="L46" s="239"/>
      <c r="M46"/>
      <c r="N46"/>
      <c r="O46"/>
      <c r="P46"/>
      <c r="Q46"/>
      <c r="R46"/>
      <c r="S46"/>
      <c r="T46"/>
      <c r="U46"/>
      <c r="V46"/>
      <c r="W46"/>
      <c r="X46"/>
    </row>
    <row r="47" spans="1:24">
      <c r="A47" s="85" t="s">
        <v>32</v>
      </c>
      <c r="B47" s="86"/>
      <c r="C47" s="87"/>
      <c r="D47" s="87"/>
      <c r="E47" s="88"/>
      <c r="F47" s="88"/>
      <c r="G47" s="88"/>
      <c r="H47" s="88"/>
      <c r="I47" s="88"/>
      <c r="J47" s="88"/>
      <c r="K47" s="88"/>
      <c r="L47" s="89"/>
      <c r="M47"/>
      <c r="N47"/>
      <c r="O47"/>
      <c r="P47"/>
      <c r="Q47"/>
      <c r="R47"/>
      <c r="S47"/>
      <c r="T47"/>
      <c r="U47"/>
      <c r="V47"/>
      <c r="W47"/>
      <c r="X47"/>
    </row>
    <row r="48" spans="1:24">
      <c r="A48" s="90"/>
      <c r="B48" s="31"/>
      <c r="C48" s="91"/>
      <c r="D48" s="54"/>
      <c r="E48" s="92"/>
      <c r="F48" s="28"/>
      <c r="G48" s="28"/>
      <c r="H48" s="93"/>
      <c r="I48" s="94" t="s">
        <v>33</v>
      </c>
      <c r="J48" s="93"/>
      <c r="K48" s="232" t="s">
        <v>34</v>
      </c>
      <c r="L48" s="280"/>
      <c r="M48"/>
      <c r="N48"/>
      <c r="O48"/>
      <c r="P48"/>
      <c r="Q48"/>
      <c r="R48"/>
      <c r="S48"/>
      <c r="T48"/>
      <c r="U48"/>
      <c r="V48"/>
      <c r="W48"/>
      <c r="X48"/>
    </row>
    <row r="49" spans="1:24">
      <c r="A49" s="90"/>
      <c r="B49" s="31"/>
      <c r="C49" s="31"/>
      <c r="D49" s="96" t="s">
        <v>35</v>
      </c>
      <c r="E49" s="97"/>
      <c r="F49" s="98" t="s">
        <v>36</v>
      </c>
      <c r="G49" s="99"/>
      <c r="H49" s="97"/>
      <c r="I49" s="96" t="s">
        <v>37</v>
      </c>
      <c r="J49" s="97"/>
      <c r="K49" s="281" t="s">
        <v>38</v>
      </c>
      <c r="L49" s="282"/>
      <c r="M49"/>
      <c r="N49"/>
      <c r="O49"/>
      <c r="P49"/>
      <c r="Q49"/>
      <c r="R49"/>
      <c r="S49"/>
      <c r="T49"/>
      <c r="U49"/>
      <c r="V49"/>
      <c r="W49"/>
      <c r="X49"/>
    </row>
    <row r="50" spans="1:24">
      <c r="A50" s="90"/>
      <c r="B50" s="31"/>
      <c r="C50" s="31"/>
      <c r="D50" s="101" t="s">
        <v>39</v>
      </c>
      <c r="E50" s="101" t="s">
        <v>31</v>
      </c>
      <c r="F50" s="232" t="s">
        <v>39</v>
      </c>
      <c r="G50" s="233"/>
      <c r="H50" s="101" t="s">
        <v>31</v>
      </c>
      <c r="I50" s="101" t="s">
        <v>39</v>
      </c>
      <c r="J50" s="101" t="s">
        <v>31</v>
      </c>
      <c r="K50" s="281" t="s">
        <v>39</v>
      </c>
      <c r="L50" s="282"/>
      <c r="M50"/>
      <c r="N50"/>
      <c r="O50"/>
      <c r="P50"/>
      <c r="Q50"/>
      <c r="R50"/>
      <c r="S50"/>
      <c r="T50"/>
      <c r="U50"/>
      <c r="V50"/>
      <c r="W50"/>
      <c r="X50"/>
    </row>
    <row r="51" spans="1:24">
      <c r="A51" s="90"/>
      <c r="B51" s="31"/>
      <c r="C51" s="31"/>
      <c r="D51" s="102"/>
      <c r="E51" s="102"/>
      <c r="F51" s="287"/>
      <c r="G51" s="288"/>
      <c r="H51" s="102"/>
      <c r="I51" s="102"/>
      <c r="J51" s="102"/>
      <c r="K51" s="283"/>
      <c r="L51" s="284"/>
      <c r="M51"/>
      <c r="N51"/>
      <c r="O51"/>
      <c r="P51"/>
      <c r="Q51"/>
      <c r="R51"/>
      <c r="S51"/>
      <c r="T51"/>
      <c r="U51"/>
      <c r="V51"/>
      <c r="W51"/>
      <c r="X51"/>
    </row>
    <row r="52" spans="1:24">
      <c r="A52" s="105" t="s">
        <v>40</v>
      </c>
      <c r="B52" s="106"/>
      <c r="C52" s="31"/>
      <c r="D52" s="215">
        <f>'[2]Summary Page 1'!$C$32</f>
        <v>2046039</v>
      </c>
      <c r="E52" s="215">
        <f>[1]!F001P100F1000SBBudgFY</f>
        <v>2956253</v>
      </c>
      <c r="F52" s="221">
        <f>'[2]Summary Page 1'!$E$32</f>
        <v>252500</v>
      </c>
      <c r="G52" s="222"/>
      <c r="H52" s="217">
        <f>[1]!F001P100F1000OthBudgFY</f>
        <v>193000</v>
      </c>
      <c r="I52" s="215">
        <f>D52+F52</f>
        <v>2298539</v>
      </c>
      <c r="J52" s="217">
        <f>E52+H52</f>
        <v>3149253</v>
      </c>
      <c r="K52" s="268">
        <f>IF(I52=J52,0,IF(I52&gt;0,(J52-I52)/I52,"--"))</f>
        <v>0.37011075296090257</v>
      </c>
      <c r="L52" s="285"/>
      <c r="M52"/>
      <c r="N52"/>
      <c r="O52"/>
      <c r="P52"/>
      <c r="Q52"/>
      <c r="R52"/>
      <c r="S52"/>
      <c r="T52"/>
      <c r="U52"/>
      <c r="V52"/>
      <c r="W52"/>
      <c r="X52"/>
    </row>
    <row r="53" spans="1:24" ht="12.75" customHeight="1">
      <c r="A53" s="105" t="s">
        <v>41</v>
      </c>
      <c r="B53" s="106"/>
      <c r="C53" s="31"/>
      <c r="D53" s="216"/>
      <c r="E53" s="216"/>
      <c r="F53" s="223"/>
      <c r="G53" s="224"/>
      <c r="H53" s="218"/>
      <c r="I53" s="216"/>
      <c r="J53" s="218"/>
      <c r="K53" s="270"/>
      <c r="L53" s="286"/>
      <c r="M53"/>
      <c r="N53"/>
      <c r="O53"/>
      <c r="P53"/>
      <c r="Q53"/>
      <c r="R53"/>
      <c r="S53"/>
      <c r="T53"/>
      <c r="U53"/>
      <c r="V53"/>
      <c r="W53"/>
      <c r="X53"/>
    </row>
    <row r="54" spans="1:24">
      <c r="A54" s="105" t="s">
        <v>42</v>
      </c>
      <c r="B54" s="106"/>
      <c r="C54" s="31"/>
      <c r="D54" s="215">
        <f>'[2]Summary Page 1'!$C$34</f>
        <v>333063</v>
      </c>
      <c r="E54" s="217">
        <f>[1]!F001P100F2100SBBudgFY</f>
        <v>362176</v>
      </c>
      <c r="F54" s="221">
        <f>'[2]Summary Page 1'!$E$34</f>
        <v>20500</v>
      </c>
      <c r="G54" s="222"/>
      <c r="H54" s="217">
        <f>[1]!F001P100F2100OthBudgFY</f>
        <v>22000</v>
      </c>
      <c r="I54" s="215">
        <f>D54+F54</f>
        <v>353563</v>
      </c>
      <c r="J54" s="217">
        <f>E54+H54</f>
        <v>384176</v>
      </c>
      <c r="K54" s="268">
        <f>IF(I54=J54,0,IF(I54&gt;0,(J54-I54)/I54,"--"))</f>
        <v>8.6584286251672263E-2</v>
      </c>
      <c r="L54" s="285"/>
      <c r="M54"/>
      <c r="N54"/>
      <c r="O54"/>
      <c r="P54"/>
      <c r="Q54"/>
      <c r="R54"/>
      <c r="S54"/>
      <c r="T54"/>
      <c r="U54"/>
      <c r="V54"/>
      <c r="W54"/>
      <c r="X54"/>
    </row>
    <row r="55" spans="1:24" ht="12.75" customHeight="1">
      <c r="A55" s="105" t="s">
        <v>43</v>
      </c>
      <c r="B55" s="106"/>
      <c r="C55" s="67"/>
      <c r="D55" s="216"/>
      <c r="E55" s="218"/>
      <c r="F55" s="223"/>
      <c r="G55" s="224"/>
      <c r="H55" s="218"/>
      <c r="I55" s="216"/>
      <c r="J55" s="218"/>
      <c r="K55" s="270"/>
      <c r="L55" s="286"/>
      <c r="M55"/>
      <c r="N55"/>
      <c r="O55"/>
      <c r="P55"/>
      <c r="Q55"/>
      <c r="R55"/>
      <c r="S55"/>
      <c r="T55"/>
      <c r="U55"/>
      <c r="V55"/>
      <c r="W55"/>
      <c r="X55"/>
    </row>
    <row r="56" spans="1:24">
      <c r="A56" s="107" t="s">
        <v>44</v>
      </c>
      <c r="B56" s="108"/>
      <c r="C56" s="31"/>
      <c r="D56" s="109">
        <f>'[2]Summary Page 1'!$C$36</f>
        <v>646</v>
      </c>
      <c r="E56" s="110">
        <f>[1]!F001P100F2200SBBudgFY</f>
        <v>0</v>
      </c>
      <c r="F56" s="219">
        <f>'[2]Summary Page 1'!$E$36</f>
        <v>48580</v>
      </c>
      <c r="G56" s="220"/>
      <c r="H56" s="110">
        <f>[1]!F001P100F2200OthBudgFY</f>
        <v>41500</v>
      </c>
      <c r="I56" s="109">
        <f t="shared" ref="I56:I63" si="0">D56+F56</f>
        <v>49226</v>
      </c>
      <c r="J56" s="110">
        <f t="shared" ref="J56:J63" si="1">E56+H56</f>
        <v>41500</v>
      </c>
      <c r="K56" s="266">
        <f t="shared" ref="K56:K65" si="2">IF(I56=J56,0,IF(I56&gt;0,(J56-I56)/I56,"--"))</f>
        <v>-0.15694957949051314</v>
      </c>
      <c r="L56" s="279"/>
      <c r="M56"/>
      <c r="N56"/>
      <c r="O56"/>
      <c r="P56"/>
      <c r="Q56"/>
      <c r="R56"/>
      <c r="S56"/>
      <c r="T56"/>
      <c r="U56"/>
      <c r="V56"/>
      <c r="W56"/>
      <c r="X56"/>
    </row>
    <row r="57" spans="1:24">
      <c r="A57" s="107" t="s">
        <v>45</v>
      </c>
      <c r="B57" s="108"/>
      <c r="C57" s="112"/>
      <c r="D57" s="109">
        <f>'[2]Summary Page 1'!$C$37</f>
        <v>847563</v>
      </c>
      <c r="E57" s="110">
        <f>[1]!F001P100F230024002500SBBudgFY</f>
        <v>840490</v>
      </c>
      <c r="F57" s="219">
        <f>'[2]Summary Page 1'!$E$37</f>
        <v>97500</v>
      </c>
      <c r="G57" s="220"/>
      <c r="H57" s="110">
        <f>[1]!F001P100F230024002500OthBudgFY</f>
        <v>131000</v>
      </c>
      <c r="I57" s="109">
        <f t="shared" si="0"/>
        <v>945063</v>
      </c>
      <c r="J57" s="110">
        <f t="shared" si="1"/>
        <v>971490</v>
      </c>
      <c r="K57" s="266">
        <f t="shared" si="2"/>
        <v>2.7963215150735982E-2</v>
      </c>
      <c r="L57" s="279"/>
      <c r="M57"/>
      <c r="N57"/>
      <c r="O57"/>
      <c r="P57"/>
      <c r="Q57"/>
      <c r="R57"/>
      <c r="S57"/>
      <c r="T57"/>
      <c r="U57"/>
      <c r="V57"/>
      <c r="W57"/>
      <c r="X57"/>
    </row>
    <row r="58" spans="1:24">
      <c r="A58" s="107" t="s">
        <v>46</v>
      </c>
      <c r="B58" s="108"/>
      <c r="C58" s="62"/>
      <c r="D58" s="109">
        <f>'[2]Summary Page 1'!$C$38</f>
        <v>450000</v>
      </c>
      <c r="E58" s="110">
        <f>[1]!F001P100F2600SBBudgFY</f>
        <v>452575</v>
      </c>
      <c r="F58" s="219">
        <f>'[2]Summary Page 1'!$E$38</f>
        <v>491016</v>
      </c>
      <c r="G58" s="220"/>
      <c r="H58" s="109">
        <f>[1]!F001P100F2600OthBudgFY</f>
        <v>577000</v>
      </c>
      <c r="I58" s="109">
        <f t="shared" si="0"/>
        <v>941016</v>
      </c>
      <c r="J58" s="110">
        <f t="shared" si="1"/>
        <v>1029575</v>
      </c>
      <c r="K58" s="266">
        <f t="shared" si="2"/>
        <v>9.4109983252144494E-2</v>
      </c>
      <c r="L58" s="279"/>
      <c r="M58"/>
      <c r="N58"/>
      <c r="O58"/>
      <c r="P58"/>
      <c r="Q58"/>
      <c r="R58"/>
      <c r="S58"/>
      <c r="T58"/>
      <c r="U58"/>
      <c r="V58"/>
      <c r="W58"/>
      <c r="X58"/>
    </row>
    <row r="59" spans="1:24">
      <c r="A59" s="105" t="s">
        <v>47</v>
      </c>
      <c r="B59" s="106"/>
      <c r="C59" s="31"/>
      <c r="D59" s="109">
        <f>'[2]Summary Page 1'!$C$39</f>
        <v>0</v>
      </c>
      <c r="E59" s="110">
        <f>[1]!F001P100F2900SBBudgFY</f>
        <v>0</v>
      </c>
      <c r="F59" s="219">
        <f>'[2]Summary Page 1'!$E$39</f>
        <v>0</v>
      </c>
      <c r="G59" s="220"/>
      <c r="H59" s="109">
        <f>[1]!F001P100F2900OthBudgFY</f>
        <v>0</v>
      </c>
      <c r="I59" s="109">
        <f t="shared" si="0"/>
        <v>0</v>
      </c>
      <c r="J59" s="110">
        <f t="shared" si="1"/>
        <v>0</v>
      </c>
      <c r="K59" s="266">
        <f t="shared" si="2"/>
        <v>0</v>
      </c>
      <c r="L59" s="279"/>
      <c r="M59"/>
      <c r="N59"/>
      <c r="O59"/>
      <c r="P59"/>
      <c r="Q59"/>
      <c r="R59"/>
      <c r="S59"/>
      <c r="T59"/>
      <c r="U59"/>
      <c r="V59"/>
      <c r="W59"/>
      <c r="X59"/>
    </row>
    <row r="60" spans="1:24">
      <c r="A60" s="105" t="s">
        <v>48</v>
      </c>
      <c r="B60" s="106"/>
      <c r="C60" s="31"/>
      <c r="D60" s="109">
        <f>'[2]Summary Page 1'!$C$40</f>
        <v>126725</v>
      </c>
      <c r="E60" s="110">
        <f>[1]!F001P100F3000SBBudgFY</f>
        <v>168263</v>
      </c>
      <c r="F60" s="219">
        <f>'[2]Summary Page 1'!$E$40</f>
        <v>7209</v>
      </c>
      <c r="G60" s="220"/>
      <c r="H60" s="109">
        <f>[1]!F001P100F3000OthBudgFY</f>
        <v>5600</v>
      </c>
      <c r="I60" s="109">
        <f t="shared" si="0"/>
        <v>133934</v>
      </c>
      <c r="J60" s="110">
        <f t="shared" si="1"/>
        <v>173863</v>
      </c>
      <c r="K60" s="266">
        <f t="shared" si="2"/>
        <v>0.2981244493556528</v>
      </c>
      <c r="L60" s="279"/>
      <c r="M60"/>
      <c r="N60"/>
      <c r="O60"/>
      <c r="P60"/>
      <c r="Q60"/>
      <c r="R60"/>
      <c r="S60"/>
      <c r="T60"/>
      <c r="U60"/>
      <c r="V60"/>
      <c r="W60"/>
      <c r="X60"/>
    </row>
    <row r="61" spans="1:24">
      <c r="A61" s="90" t="s">
        <v>49</v>
      </c>
      <c r="B61" s="31"/>
      <c r="C61" s="31"/>
      <c r="D61" s="109">
        <f>'[2]Summary Page 1'!$C$41</f>
        <v>0</v>
      </c>
      <c r="E61" s="110">
        <f>[1]!F001P610SBBudgFY</f>
        <v>0</v>
      </c>
      <c r="F61" s="219">
        <f>'[2]Summary Page 1'!$E$41</f>
        <v>0</v>
      </c>
      <c r="G61" s="220"/>
      <c r="H61" s="109">
        <f>[1]!F001P610OthBudgFY</f>
        <v>0</v>
      </c>
      <c r="I61" s="109">
        <f t="shared" si="0"/>
        <v>0</v>
      </c>
      <c r="J61" s="110">
        <f t="shared" si="1"/>
        <v>0</v>
      </c>
      <c r="K61" s="266">
        <f t="shared" si="2"/>
        <v>0</v>
      </c>
      <c r="L61" s="267"/>
      <c r="M61"/>
      <c r="N61"/>
      <c r="O61"/>
      <c r="P61"/>
      <c r="Q61"/>
      <c r="R61"/>
      <c r="S61"/>
      <c r="T61"/>
      <c r="U61"/>
      <c r="V61"/>
      <c r="W61"/>
      <c r="X61"/>
    </row>
    <row r="62" spans="1:24">
      <c r="A62" s="90" t="s">
        <v>50</v>
      </c>
      <c r="B62" s="31"/>
      <c r="C62" s="31"/>
      <c r="D62" s="109">
        <f>'[2]Summary Page 1'!$C$42</f>
        <v>0</v>
      </c>
      <c r="E62" s="110">
        <f>[1]!F001P620SBBudgFY</f>
        <v>0</v>
      </c>
      <c r="F62" s="219">
        <f>'[2]Summary Page 1'!$E$42</f>
        <v>0</v>
      </c>
      <c r="G62" s="220"/>
      <c r="H62" s="109">
        <f>[1]!F001P620OthBudgFY</f>
        <v>0</v>
      </c>
      <c r="I62" s="109">
        <f t="shared" si="0"/>
        <v>0</v>
      </c>
      <c r="J62" s="110">
        <f t="shared" si="1"/>
        <v>0</v>
      </c>
      <c r="K62" s="266">
        <f t="shared" si="2"/>
        <v>0</v>
      </c>
      <c r="L62" s="267"/>
      <c r="M62"/>
      <c r="N62"/>
      <c r="O62"/>
      <c r="P62"/>
      <c r="Q62"/>
      <c r="R62"/>
      <c r="S62"/>
      <c r="T62"/>
      <c r="U62"/>
      <c r="V62"/>
      <c r="W62"/>
      <c r="X62"/>
    </row>
    <row r="63" spans="1:24">
      <c r="A63" s="90" t="s">
        <v>51</v>
      </c>
      <c r="B63" s="31"/>
      <c r="C63" s="31"/>
      <c r="D63" s="109">
        <f>'[2]Summary Page 1'!$C$43</f>
        <v>0</v>
      </c>
      <c r="E63" s="113">
        <f>[1]!F001P630700800900SBBudgFY</f>
        <v>0</v>
      </c>
      <c r="F63" s="272">
        <f>'[2]Summary Page 1'!$E$43</f>
        <v>0</v>
      </c>
      <c r="G63" s="273"/>
      <c r="H63" s="115">
        <f>[1]!F001P630700800900OthBudgFY</f>
        <v>0</v>
      </c>
      <c r="I63" s="115">
        <f t="shared" si="0"/>
        <v>0</v>
      </c>
      <c r="J63" s="113">
        <f t="shared" si="1"/>
        <v>0</v>
      </c>
      <c r="K63" s="266">
        <f t="shared" si="2"/>
        <v>0</v>
      </c>
      <c r="L63" s="267"/>
      <c r="M63"/>
      <c r="N63"/>
      <c r="O63"/>
      <c r="P63"/>
      <c r="Q63"/>
      <c r="R63"/>
      <c r="S63"/>
      <c r="T63"/>
      <c r="U63"/>
      <c r="V63"/>
      <c r="W63"/>
      <c r="X63"/>
    </row>
    <row r="64" spans="1:24">
      <c r="A64" s="116" t="s">
        <v>52</v>
      </c>
      <c r="B64" s="117"/>
      <c r="C64" s="91"/>
      <c r="D64" s="110">
        <f t="shared" ref="D64" si="3">SUM(D52:D63)</f>
        <v>3804036</v>
      </c>
      <c r="E64" s="110">
        <f t="shared" ref="E64:J64" si="4">SUM(E52:E63)</f>
        <v>4779757</v>
      </c>
      <c r="F64" s="219">
        <f t="shared" si="4"/>
        <v>917305</v>
      </c>
      <c r="G64" s="220"/>
      <c r="H64" s="110">
        <f>SUM(H52:H63)</f>
        <v>970100</v>
      </c>
      <c r="I64" s="110">
        <f t="shared" si="4"/>
        <v>4721341</v>
      </c>
      <c r="J64" s="110">
        <f t="shared" si="4"/>
        <v>5749857</v>
      </c>
      <c r="K64" s="266">
        <f t="shared" si="2"/>
        <v>0.21784404049612177</v>
      </c>
      <c r="L64" s="267"/>
      <c r="M64"/>
      <c r="N64"/>
      <c r="O64"/>
      <c r="P64"/>
      <c r="Q64"/>
      <c r="R64"/>
      <c r="S64"/>
      <c r="T64"/>
      <c r="U64"/>
      <c r="V64"/>
      <c r="W64"/>
      <c r="X64"/>
    </row>
    <row r="65" spans="1:24">
      <c r="A65" s="105" t="s">
        <v>53</v>
      </c>
      <c r="B65" s="106"/>
      <c r="C65" s="31"/>
      <c r="D65" s="215">
        <f>'[2]Summary Page 1'!$C$45</f>
        <v>237410</v>
      </c>
      <c r="E65" s="217">
        <f>[1]!F001P200F1000SBBudgFY</f>
        <v>299842</v>
      </c>
      <c r="F65" s="221">
        <f>'[2]Summary Page 1'!$E$45</f>
        <v>12000</v>
      </c>
      <c r="G65" s="222"/>
      <c r="H65" s="217">
        <f>[1]!F001P200F1000OthBudgFY</f>
        <v>4000</v>
      </c>
      <c r="I65" s="215">
        <f>D65+F65</f>
        <v>249410</v>
      </c>
      <c r="J65" s="217">
        <f>E65+H65</f>
        <v>303842</v>
      </c>
      <c r="K65" s="268">
        <f t="shared" si="2"/>
        <v>0.21824305360651136</v>
      </c>
      <c r="L65" s="269"/>
      <c r="M65"/>
      <c r="N65"/>
      <c r="O65"/>
      <c r="P65"/>
      <c r="Q65"/>
      <c r="R65"/>
      <c r="S65"/>
      <c r="T65"/>
      <c r="U65"/>
      <c r="V65"/>
      <c r="W65"/>
      <c r="X65"/>
    </row>
    <row r="66" spans="1:24" ht="12.75" customHeight="1">
      <c r="A66" s="105" t="s">
        <v>41</v>
      </c>
      <c r="B66" s="106"/>
      <c r="C66" s="31"/>
      <c r="D66" s="216"/>
      <c r="E66" s="218"/>
      <c r="F66" s="223"/>
      <c r="G66" s="224"/>
      <c r="H66" s="218"/>
      <c r="I66" s="216"/>
      <c r="J66" s="218"/>
      <c r="K66" s="270"/>
      <c r="L66" s="271"/>
      <c r="M66"/>
      <c r="N66"/>
      <c r="O66"/>
      <c r="P66"/>
      <c r="Q66"/>
      <c r="R66"/>
      <c r="S66"/>
      <c r="T66"/>
      <c r="U66"/>
      <c r="V66"/>
      <c r="W66"/>
      <c r="X66"/>
    </row>
    <row r="67" spans="1:24">
      <c r="A67" s="105" t="s">
        <v>42</v>
      </c>
      <c r="B67" s="106"/>
      <c r="C67" s="31"/>
      <c r="D67" s="215">
        <f>'[2]Summary Page 1'!$C$47</f>
        <v>124350</v>
      </c>
      <c r="E67" s="217">
        <f>[1]!F001P200F2100SBBudgFY</f>
        <v>155939</v>
      </c>
      <c r="F67" s="221">
        <f>'[2]Summary Page 1'!$E$47</f>
        <v>78800</v>
      </c>
      <c r="G67" s="222"/>
      <c r="H67" s="217">
        <f>[1]!F001P200F2100OthBudgFY</f>
        <v>0</v>
      </c>
      <c r="I67" s="215">
        <f>D67+F67</f>
        <v>203150</v>
      </c>
      <c r="J67" s="217">
        <f>E67+H67</f>
        <v>155939</v>
      </c>
      <c r="K67" s="268">
        <f>IF(I67=J67,0,IF(I67&gt;0,(J67-I67)/I67,"--"))</f>
        <v>-0.23239478218065468</v>
      </c>
      <c r="L67" s="269"/>
      <c r="M67"/>
      <c r="N67"/>
      <c r="O67"/>
      <c r="P67"/>
      <c r="Q67"/>
      <c r="R67"/>
      <c r="S67"/>
      <c r="T67"/>
      <c r="U67"/>
      <c r="V67"/>
      <c r="W67"/>
      <c r="X67"/>
    </row>
    <row r="68" spans="1:24" ht="12.75" customHeight="1">
      <c r="A68" s="105" t="s">
        <v>43</v>
      </c>
      <c r="B68" s="106"/>
      <c r="C68" s="67"/>
      <c r="D68" s="216"/>
      <c r="E68" s="218"/>
      <c r="F68" s="223"/>
      <c r="G68" s="224"/>
      <c r="H68" s="218"/>
      <c r="I68" s="218"/>
      <c r="J68" s="218"/>
      <c r="K68" s="270"/>
      <c r="L68" s="271"/>
      <c r="M68"/>
      <c r="N68"/>
      <c r="O68"/>
      <c r="P68"/>
      <c r="Q68"/>
      <c r="R68"/>
      <c r="S68"/>
      <c r="T68"/>
      <c r="U68"/>
      <c r="V68"/>
      <c r="W68"/>
      <c r="X68"/>
    </row>
    <row r="69" spans="1:24">
      <c r="A69" s="107" t="s">
        <v>44</v>
      </c>
      <c r="B69" s="108"/>
      <c r="C69" s="31"/>
      <c r="D69" s="109">
        <f>'[2]Summary Page 1'!$C$49</f>
        <v>54500</v>
      </c>
      <c r="E69" s="109">
        <f>[1]!F001P200F2200SBBudgFY</f>
        <v>61689</v>
      </c>
      <c r="F69" s="219">
        <f>'[2]Summary Page 1'!$E$49</f>
        <v>3300</v>
      </c>
      <c r="G69" s="220"/>
      <c r="H69" s="110">
        <f>[1]!F001P200F2200OthBudgFY</f>
        <v>8000</v>
      </c>
      <c r="I69" s="109">
        <f>D69+F69</f>
        <v>57800</v>
      </c>
      <c r="J69" s="110">
        <f>E69+H69</f>
        <v>69689</v>
      </c>
      <c r="K69" s="266">
        <f t="shared" ref="K69:K78" si="5">IF(I69=J69,0,IF(I69&gt;0,(J69-I69)/I69,"--"))</f>
        <v>0.20569204152249135</v>
      </c>
      <c r="L69" s="267"/>
      <c r="M69"/>
      <c r="N69"/>
      <c r="O69"/>
      <c r="P69"/>
      <c r="Q69"/>
      <c r="R69"/>
      <c r="S69"/>
      <c r="T69"/>
      <c r="U69"/>
      <c r="V69"/>
      <c r="W69"/>
      <c r="X69"/>
    </row>
    <row r="70" spans="1:24">
      <c r="A70" s="107" t="s">
        <v>45</v>
      </c>
      <c r="B70" s="108"/>
      <c r="C70" s="112"/>
      <c r="D70" s="109">
        <f>'[2]Summary Page 1'!$C$50</f>
        <v>0</v>
      </c>
      <c r="E70" s="109">
        <f>[1]!F001P200F230024002500SBBudgFY</f>
        <v>0</v>
      </c>
      <c r="F70" s="219">
        <f>'[2]Summary Page 1'!$E$50</f>
        <v>3000</v>
      </c>
      <c r="G70" s="220"/>
      <c r="H70" s="109">
        <f>[1]!F001P200F230024002500OthBudgFY</f>
        <v>0</v>
      </c>
      <c r="I70" s="109">
        <f>D70+F70</f>
        <v>3000</v>
      </c>
      <c r="J70" s="110">
        <f>E70+H70</f>
        <v>0</v>
      </c>
      <c r="K70" s="266">
        <f t="shared" si="5"/>
        <v>-1</v>
      </c>
      <c r="L70" s="267"/>
      <c r="M70"/>
      <c r="N70"/>
      <c r="O70"/>
      <c r="P70"/>
      <c r="Q70"/>
      <c r="R70"/>
      <c r="S70"/>
      <c r="T70"/>
      <c r="U70"/>
      <c r="V70"/>
      <c r="W70"/>
      <c r="X70"/>
    </row>
    <row r="71" spans="1:24">
      <c r="A71" s="107" t="s">
        <v>46</v>
      </c>
      <c r="B71" s="108"/>
      <c r="C71" s="62"/>
      <c r="D71" s="109">
        <f>'[2]Summary Page 1'!$C$51</f>
        <v>0</v>
      </c>
      <c r="E71" s="109">
        <f>[1]!F001P200F2600SBBudgFY</f>
        <v>0</v>
      </c>
      <c r="F71" s="219">
        <f>'[2]Summary Page 1'!$E$51</f>
        <v>0</v>
      </c>
      <c r="G71" s="220"/>
      <c r="H71" s="109">
        <f>[1]!F001P200F2600OthBudgFY</f>
        <v>0</v>
      </c>
      <c r="I71" s="109">
        <f>D71+F71</f>
        <v>0</v>
      </c>
      <c r="J71" s="110">
        <f>E71+H71</f>
        <v>0</v>
      </c>
      <c r="K71" s="266">
        <f t="shared" si="5"/>
        <v>0</v>
      </c>
      <c r="L71" s="267"/>
      <c r="M71"/>
      <c r="N71"/>
      <c r="O71"/>
      <c r="P71"/>
      <c r="Q71"/>
      <c r="R71"/>
      <c r="S71"/>
      <c r="T71"/>
      <c r="U71"/>
      <c r="V71"/>
      <c r="W71"/>
      <c r="X71"/>
    </row>
    <row r="72" spans="1:24">
      <c r="A72" s="105" t="s">
        <v>47</v>
      </c>
      <c r="B72" s="106"/>
      <c r="C72" s="31"/>
      <c r="D72" s="109">
        <f>'[2]Summary Page 1'!$C$52</f>
        <v>0</v>
      </c>
      <c r="E72" s="109">
        <f>[1]!F001P200F2900SBBudgFY</f>
        <v>0</v>
      </c>
      <c r="F72" s="219">
        <f>'[2]Summary Page 1'!$E$52</f>
        <v>0</v>
      </c>
      <c r="G72" s="220"/>
      <c r="H72" s="109">
        <f>[1]!F001P200F2900OthBudgFY</f>
        <v>0</v>
      </c>
      <c r="I72" s="109">
        <f>D72+F72</f>
        <v>0</v>
      </c>
      <c r="J72" s="110">
        <f>E72+H72</f>
        <v>0</v>
      </c>
      <c r="K72" s="266">
        <f t="shared" si="5"/>
        <v>0</v>
      </c>
      <c r="L72" s="267"/>
      <c r="M72"/>
      <c r="N72"/>
      <c r="O72"/>
      <c r="P72"/>
      <c r="Q72"/>
      <c r="R72"/>
      <c r="S72"/>
      <c r="T72"/>
      <c r="U72"/>
      <c r="V72"/>
      <c r="W72"/>
      <c r="X72"/>
    </row>
    <row r="73" spans="1:24">
      <c r="A73" s="105" t="s">
        <v>48</v>
      </c>
      <c r="B73" s="106"/>
      <c r="C73" s="31"/>
      <c r="D73" s="109">
        <f>'[2]Summary Page 1'!$C$53</f>
        <v>0</v>
      </c>
      <c r="E73" s="109">
        <f>[1]!F001P200F3000SBBudgFY</f>
        <v>0</v>
      </c>
      <c r="F73" s="219">
        <f>'[2]Summary Page 1'!$E$53</f>
        <v>0</v>
      </c>
      <c r="G73" s="220"/>
      <c r="H73" s="109">
        <f>[1]!F001P200F3000OthBudgFY</f>
        <v>0</v>
      </c>
      <c r="I73" s="109">
        <f>D73+F73</f>
        <v>0</v>
      </c>
      <c r="J73" s="110">
        <f>E73+H73</f>
        <v>0</v>
      </c>
      <c r="K73" s="266">
        <f t="shared" si="5"/>
        <v>0</v>
      </c>
      <c r="L73" s="267"/>
      <c r="M73"/>
      <c r="N73"/>
      <c r="O73"/>
      <c r="P73"/>
      <c r="Q73"/>
      <c r="R73"/>
      <c r="S73"/>
      <c r="T73"/>
      <c r="U73"/>
      <c r="V73"/>
      <c r="W73"/>
      <c r="X73"/>
    </row>
    <row r="74" spans="1:24">
      <c r="A74" s="116" t="s">
        <v>54</v>
      </c>
      <c r="B74" s="117"/>
      <c r="C74" s="31"/>
      <c r="D74" s="118">
        <f t="shared" ref="D74" si="6">SUM(D65:D73)</f>
        <v>416260</v>
      </c>
      <c r="E74" s="118">
        <f t="shared" ref="E74:J74" si="7">SUM(E65:E73)</f>
        <v>517470</v>
      </c>
      <c r="F74" s="289">
        <f t="shared" si="7"/>
        <v>97100</v>
      </c>
      <c r="G74" s="290"/>
      <c r="H74" s="118">
        <f t="shared" si="7"/>
        <v>12000</v>
      </c>
      <c r="I74" s="109">
        <f t="shared" si="7"/>
        <v>513360</v>
      </c>
      <c r="J74" s="109">
        <f t="shared" si="7"/>
        <v>529470</v>
      </c>
      <c r="K74" s="266">
        <f t="shared" si="5"/>
        <v>3.1381486676016833E-2</v>
      </c>
      <c r="L74" s="267"/>
      <c r="M74"/>
      <c r="N74"/>
      <c r="O74"/>
      <c r="P74"/>
      <c r="Q74"/>
      <c r="R74"/>
      <c r="S74"/>
      <c r="T74"/>
      <c r="U74"/>
      <c r="V74"/>
      <c r="W74"/>
      <c r="X74"/>
    </row>
    <row r="75" spans="1:24">
      <c r="A75" s="119" t="s">
        <v>55</v>
      </c>
      <c r="B75" s="120"/>
      <c r="C75" s="120"/>
      <c r="D75" s="109">
        <f>'[2]Summary Page 1'!$C$55</f>
        <v>422885</v>
      </c>
      <c r="E75" s="118">
        <f>[1]!F001P400SBBudgFY</f>
        <v>544628</v>
      </c>
      <c r="F75" s="219">
        <f>'[2]Summary Page 1'!$E$55</f>
        <v>91665</v>
      </c>
      <c r="G75" s="220"/>
      <c r="H75" s="118">
        <f>[1]!F001P400OthBudgFy</f>
        <v>172000</v>
      </c>
      <c r="I75" s="109">
        <f>D75+F75</f>
        <v>514550</v>
      </c>
      <c r="J75" s="110">
        <f>E75+H75</f>
        <v>716628</v>
      </c>
      <c r="K75" s="266">
        <f t="shared" si="5"/>
        <v>0.39272762608104167</v>
      </c>
      <c r="L75" s="267"/>
      <c r="M75"/>
      <c r="N75"/>
      <c r="O75"/>
      <c r="P75"/>
      <c r="Q75"/>
      <c r="R75"/>
      <c r="S75"/>
      <c r="T75"/>
      <c r="U75"/>
      <c r="V75"/>
      <c r="W75"/>
      <c r="X75"/>
    </row>
    <row r="76" spans="1:24">
      <c r="A76" s="121" t="s">
        <v>56</v>
      </c>
      <c r="B76" s="26"/>
      <c r="C76" s="26"/>
      <c r="D76" s="115">
        <f>'[2]Summary Page 1'!$C$56</f>
        <v>0</v>
      </c>
      <c r="E76" s="122">
        <f>[1]!F001P510SBBudgFY</f>
        <v>0</v>
      </c>
      <c r="F76" s="272">
        <f>'[2]Summary Page 1'!$E$56</f>
        <v>0</v>
      </c>
      <c r="G76" s="273"/>
      <c r="H76" s="122">
        <f>[1]!F001P510OthBudgFY</f>
        <v>0</v>
      </c>
      <c r="I76" s="115">
        <f>D76+F76</f>
        <v>0</v>
      </c>
      <c r="J76" s="113">
        <f>E76+H76</f>
        <v>0</v>
      </c>
      <c r="K76" s="292">
        <f t="shared" si="5"/>
        <v>0</v>
      </c>
      <c r="L76" s="293"/>
      <c r="M76"/>
      <c r="N76"/>
      <c r="O76"/>
      <c r="P76"/>
      <c r="Q76"/>
      <c r="R76"/>
      <c r="S76"/>
      <c r="T76"/>
      <c r="U76"/>
      <c r="V76"/>
      <c r="W76"/>
      <c r="X76"/>
    </row>
    <row r="77" spans="1:24">
      <c r="A77" s="119" t="s">
        <v>57</v>
      </c>
      <c r="B77" s="120"/>
      <c r="C77" s="120"/>
      <c r="D77" s="109">
        <f>'[2]Summary Page 1'!$C$57</f>
        <v>0</v>
      </c>
      <c r="E77" s="118">
        <f>[1]!F001P530SBBudgFY</f>
        <v>0</v>
      </c>
      <c r="F77" s="219">
        <f>'[2]Summary Page 1'!$E$57</f>
        <v>0</v>
      </c>
      <c r="G77" s="220"/>
      <c r="H77" s="118">
        <f>[1]!F001P530OthBudgFY</f>
        <v>0</v>
      </c>
      <c r="I77" s="109">
        <f>D77+F77</f>
        <v>0</v>
      </c>
      <c r="J77" s="110">
        <f>E77+H77</f>
        <v>0</v>
      </c>
      <c r="K77" s="266">
        <f t="shared" si="5"/>
        <v>0</v>
      </c>
      <c r="L77" s="267"/>
      <c r="M77"/>
      <c r="N77"/>
      <c r="O77"/>
      <c r="P77"/>
      <c r="Q77"/>
      <c r="R77"/>
      <c r="S77"/>
      <c r="T77"/>
      <c r="U77"/>
      <c r="V77"/>
      <c r="W77"/>
      <c r="X77"/>
    </row>
    <row r="78" spans="1:24">
      <c r="A78" s="119" t="s">
        <v>58</v>
      </c>
      <c r="B78" s="120"/>
      <c r="C78" s="123"/>
      <c r="D78" s="215">
        <f>'[2]Summary Page 1'!$C$58</f>
        <v>0</v>
      </c>
      <c r="E78" s="240">
        <f>[1]!F001P540SBBudgFY</f>
        <v>0</v>
      </c>
      <c r="F78" s="221">
        <f>'[2]Summary Page 1'!$E$58</f>
        <v>0</v>
      </c>
      <c r="G78" s="222"/>
      <c r="H78" s="240">
        <f>[1]!F001P540OthBudgFY</f>
        <v>0</v>
      </c>
      <c r="I78" s="215">
        <f>D78+F78</f>
        <v>0</v>
      </c>
      <c r="J78" s="215">
        <f>E78+H78</f>
        <v>0</v>
      </c>
      <c r="K78" s="268">
        <f t="shared" si="5"/>
        <v>0</v>
      </c>
      <c r="L78" s="269"/>
      <c r="M78"/>
      <c r="N78"/>
      <c r="O78"/>
      <c r="P78"/>
      <c r="Q78"/>
      <c r="R78"/>
      <c r="S78"/>
      <c r="T78"/>
      <c r="U78"/>
      <c r="V78"/>
      <c r="W78"/>
      <c r="X78"/>
    </row>
    <row r="79" spans="1:24">
      <c r="A79" s="119" t="s">
        <v>59</v>
      </c>
      <c r="B79" s="120"/>
      <c r="C79" s="123"/>
      <c r="D79" s="228"/>
      <c r="E79" s="241"/>
      <c r="F79" s="223"/>
      <c r="G79" s="224"/>
      <c r="H79" s="241"/>
      <c r="I79" s="228"/>
      <c r="J79" s="228"/>
      <c r="K79" s="270"/>
      <c r="L79" s="271"/>
      <c r="M79"/>
      <c r="N79"/>
      <c r="O79"/>
      <c r="P79"/>
      <c r="Q79"/>
      <c r="R79"/>
      <c r="S79"/>
      <c r="T79"/>
      <c r="U79"/>
      <c r="V79"/>
      <c r="W79"/>
      <c r="X79"/>
    </row>
    <row r="80" spans="1:24">
      <c r="A80" s="121" t="s">
        <v>60</v>
      </c>
      <c r="B80" s="26"/>
      <c r="C80" s="123"/>
      <c r="D80" s="109">
        <f>'[2]Summary Page 1'!$C$60</f>
        <v>53000</v>
      </c>
      <c r="E80" s="124">
        <f>[1]!F001P550SBBudgFY</f>
        <v>51046</v>
      </c>
      <c r="F80" s="219">
        <f>'[2]Summary Page 1'!$E$60</f>
        <v>0</v>
      </c>
      <c r="G80" s="220"/>
      <c r="H80" s="124">
        <f>[1]!F001P550OthBudgFY</f>
        <v>0</v>
      </c>
      <c r="I80" s="109">
        <f>D80+F80</f>
        <v>53000</v>
      </c>
      <c r="J80" s="113">
        <f>E80+H80</f>
        <v>51046</v>
      </c>
      <c r="K80" s="292">
        <f>IF(I80=J80,0,IF(I80&gt;0,(J80-I80)/I80,"--"))</f>
        <v>-3.6867924528301885E-2</v>
      </c>
      <c r="L80" s="293"/>
      <c r="M80"/>
      <c r="N80"/>
      <c r="O80"/>
      <c r="P80"/>
      <c r="Q80"/>
      <c r="R80"/>
      <c r="S80"/>
      <c r="T80"/>
      <c r="U80"/>
      <c r="V80"/>
      <c r="W80"/>
      <c r="X80"/>
    </row>
    <row r="81" spans="1:24">
      <c r="A81" s="125" t="s">
        <v>61</v>
      </c>
      <c r="B81" s="79"/>
      <c r="C81" s="126"/>
      <c r="D81" s="127">
        <f t="shared" ref="D81" si="8">SUM(D74:D80)+D64</f>
        <v>4696181</v>
      </c>
      <c r="E81" s="127">
        <f t="shared" ref="E81:J81" si="9">SUM(E74:E80)+E64</f>
        <v>5892901</v>
      </c>
      <c r="F81" s="297">
        <f t="shared" si="9"/>
        <v>1106070</v>
      </c>
      <c r="G81" s="298"/>
      <c r="H81" s="127">
        <f t="shared" si="9"/>
        <v>1154100</v>
      </c>
      <c r="I81" s="127">
        <f t="shared" si="9"/>
        <v>5802251</v>
      </c>
      <c r="J81" s="127">
        <f t="shared" si="9"/>
        <v>7047001</v>
      </c>
      <c r="K81" s="294">
        <f>IF(I81=J81,0,IF(I81&gt;0,(J81-I81)/I81,"--"))</f>
        <v>0.21452880959475901</v>
      </c>
      <c r="L81" s="295"/>
      <c r="M81"/>
      <c r="N81"/>
      <c r="O81"/>
      <c r="P81"/>
      <c r="Q81"/>
      <c r="R81"/>
      <c r="S81"/>
      <c r="T81"/>
      <c r="U81"/>
      <c r="V81"/>
      <c r="W81"/>
      <c r="X81"/>
    </row>
    <row r="82" spans="1:24">
      <c r="A82" s="67"/>
      <c r="B82" s="67"/>
      <c r="C82" s="28"/>
      <c r="D82" s="128"/>
      <c r="E82" s="128"/>
      <c r="F82" s="128"/>
      <c r="G82" s="128"/>
      <c r="H82" s="128"/>
      <c r="I82" s="128"/>
      <c r="J82" s="128"/>
      <c r="K82" s="128"/>
      <c r="L82" s="129"/>
      <c r="M82"/>
      <c r="N82"/>
      <c r="O82"/>
      <c r="P82"/>
      <c r="Q82"/>
      <c r="R82"/>
      <c r="S82"/>
      <c r="T82"/>
      <c r="U82"/>
      <c r="V82"/>
      <c r="W82"/>
      <c r="X82"/>
    </row>
    <row r="83" spans="1:24" ht="12.75" customHeight="1">
      <c r="A83"/>
      <c r="B83"/>
      <c r="C83"/>
      <c r="D83"/>
      <c r="E83"/>
      <c r="F83"/>
      <c r="G83"/>
      <c r="H83"/>
      <c r="I83"/>
      <c r="J83"/>
      <c r="K83"/>
      <c r="L83"/>
      <c r="M83"/>
      <c r="N83"/>
      <c r="O83"/>
      <c r="P83"/>
      <c r="Q83"/>
      <c r="R83"/>
      <c r="S83"/>
      <c r="T83"/>
      <c r="U83"/>
      <c r="V83"/>
      <c r="W83"/>
      <c r="X83"/>
    </row>
    <row r="84" spans="1:24" ht="12.75" customHeight="1">
      <c r="A84" s="229" t="s">
        <v>62</v>
      </c>
      <c r="B84" s="230"/>
      <c r="C84" s="230"/>
      <c r="D84" s="230"/>
      <c r="E84" s="230"/>
      <c r="F84" s="230"/>
      <c r="G84" s="231"/>
      <c r="H84" s="130"/>
      <c r="I84" s="130"/>
      <c r="J84" s="29"/>
      <c r="K84" s="29"/>
      <c r="L84"/>
      <c r="M84"/>
      <c r="N84"/>
      <c r="O84"/>
      <c r="P84"/>
      <c r="Q84"/>
      <c r="R84"/>
      <c r="S84"/>
      <c r="T84"/>
      <c r="U84"/>
      <c r="V84"/>
      <c r="W84"/>
      <c r="X84"/>
    </row>
    <row r="85" spans="1:24" ht="12.75" customHeight="1">
      <c r="A85" s="41"/>
      <c r="B85" s="31"/>
      <c r="C85" s="100"/>
      <c r="D85" s="131"/>
      <c r="E85" s="100" t="s">
        <v>63</v>
      </c>
      <c r="F85" s="232" t="s">
        <v>64</v>
      </c>
      <c r="G85" s="233"/>
      <c r="H85" s="132"/>
      <c r="I85" s="132"/>
      <c r="J85" s="132"/>
      <c r="K85" s="132"/>
      <c r="L85"/>
      <c r="M85"/>
      <c r="N85"/>
      <c r="O85"/>
      <c r="P85"/>
      <c r="Q85"/>
      <c r="R85"/>
      <c r="S85"/>
      <c r="T85"/>
      <c r="U85"/>
      <c r="V85"/>
      <c r="W85"/>
      <c r="X85"/>
    </row>
    <row r="86" spans="1:24" ht="12.75" customHeight="1">
      <c r="A86" s="41"/>
      <c r="B86" s="31"/>
      <c r="C86" s="96" t="s">
        <v>65</v>
      </c>
      <c r="D86" s="97"/>
      <c r="E86" s="100" t="s">
        <v>66</v>
      </c>
      <c r="F86" s="281" t="s">
        <v>66</v>
      </c>
      <c r="G86" s="291"/>
      <c r="H86" s="132"/>
      <c r="I86" s="132"/>
      <c r="J86" s="132"/>
      <c r="K86" s="132"/>
      <c r="L86"/>
      <c r="M86"/>
      <c r="N86"/>
      <c r="O86"/>
      <c r="P86"/>
      <c r="Q86"/>
      <c r="R86"/>
      <c r="S86"/>
      <c r="T86"/>
      <c r="U86"/>
      <c r="V86"/>
      <c r="W86"/>
      <c r="X86"/>
    </row>
    <row r="87" spans="1:24" ht="12.75" customHeight="1">
      <c r="A87" s="133" t="s">
        <v>67</v>
      </c>
      <c r="B87" s="31"/>
      <c r="C87" s="95"/>
      <c r="D87" s="101"/>
      <c r="E87" s="100" t="s">
        <v>38</v>
      </c>
      <c r="F87" s="281" t="s">
        <v>38</v>
      </c>
      <c r="G87" s="291"/>
      <c r="H87" s="132"/>
      <c r="I87" s="132"/>
      <c r="J87" s="132"/>
      <c r="K87" s="132"/>
      <c r="L87"/>
      <c r="M87"/>
      <c r="N87"/>
      <c r="O87"/>
      <c r="P87"/>
      <c r="Q87"/>
      <c r="R87"/>
      <c r="S87"/>
      <c r="T87"/>
      <c r="U87"/>
      <c r="V87"/>
      <c r="W87"/>
      <c r="X87"/>
    </row>
    <row r="88" spans="1:24" ht="12.75" customHeight="1">
      <c r="A88" s="103"/>
      <c r="B88" s="134"/>
      <c r="C88" s="104" t="s">
        <v>39</v>
      </c>
      <c r="D88" s="135" t="s">
        <v>31</v>
      </c>
      <c r="E88" s="104" t="s">
        <v>68</v>
      </c>
      <c r="F88" s="283" t="s">
        <v>39</v>
      </c>
      <c r="G88" s="296"/>
      <c r="H88" s="132"/>
      <c r="I88" s="132"/>
      <c r="J88" s="132"/>
      <c r="K88" s="132"/>
      <c r="L88"/>
      <c r="M88"/>
      <c r="N88"/>
      <c r="O88"/>
      <c r="P88"/>
      <c r="Q88"/>
      <c r="R88"/>
      <c r="S88"/>
      <c r="T88"/>
      <c r="U88"/>
      <c r="V88"/>
      <c r="W88"/>
      <c r="X88"/>
    </row>
    <row r="89" spans="1:24" ht="12.75" customHeight="1">
      <c r="A89" s="136" t="s">
        <v>69</v>
      </c>
      <c r="B89" s="137"/>
      <c r="C89" s="138">
        <f>[2]!SummMOPY</f>
        <v>5802251</v>
      </c>
      <c r="D89" s="138">
        <f>[1]!SummMOBY</f>
        <v>7047001</v>
      </c>
      <c r="E89" s="136">
        <f t="shared" ref="E89:E104" si="10">D89-C89</f>
        <v>1244750</v>
      </c>
      <c r="F89" s="234">
        <f t="shared" ref="F89:F104" si="11">IF(C89=D89,0,IF(C89&gt;0,E89/C89,"--"))</f>
        <v>0.21452880959475901</v>
      </c>
      <c r="G89" s="235"/>
      <c r="H89" s="132"/>
      <c r="I89" s="132"/>
      <c r="J89" s="132"/>
      <c r="K89" s="132"/>
      <c r="L89"/>
      <c r="M89"/>
      <c r="N89"/>
      <c r="O89"/>
      <c r="P89"/>
      <c r="Q89"/>
      <c r="R89"/>
      <c r="S89"/>
      <c r="T89"/>
      <c r="U89"/>
      <c r="V89"/>
      <c r="W89"/>
      <c r="X89"/>
    </row>
    <row r="90" spans="1:24" ht="12.75" customHeight="1">
      <c r="A90" s="139" t="s">
        <v>70</v>
      </c>
      <c r="B90" s="140"/>
      <c r="C90" s="141">
        <f>[2]!SummInstImprovPY</f>
        <v>50000</v>
      </c>
      <c r="D90" s="141">
        <f>[1]!SummInstImprovBY</f>
        <v>20850</v>
      </c>
      <c r="E90" s="136">
        <f t="shared" si="10"/>
        <v>-29150</v>
      </c>
      <c r="F90" s="234">
        <f t="shared" si="11"/>
        <v>-0.58299999999999996</v>
      </c>
      <c r="G90" s="235"/>
      <c r="H90" s="132"/>
      <c r="I90" s="132"/>
      <c r="J90" s="132"/>
      <c r="K90" s="132"/>
      <c r="L90"/>
      <c r="M90"/>
      <c r="N90"/>
      <c r="O90"/>
      <c r="P90"/>
      <c r="Q90"/>
      <c r="R90"/>
      <c r="S90"/>
      <c r="T90"/>
      <c r="U90"/>
      <c r="V90"/>
      <c r="W90"/>
      <c r="X90"/>
    </row>
    <row r="91" spans="1:24" ht="12.75" customHeight="1">
      <c r="A91" s="139" t="s">
        <v>126</v>
      </c>
      <c r="B91" s="140"/>
      <c r="C91" s="141">
        <f>[2]!SummELLPY</f>
        <v>0</v>
      </c>
      <c r="D91" s="115">
        <f>[1]!SummELLBY</f>
        <v>0</v>
      </c>
      <c r="E91" s="136">
        <f t="shared" si="10"/>
        <v>0</v>
      </c>
      <c r="F91" s="234">
        <f t="shared" si="11"/>
        <v>0</v>
      </c>
      <c r="G91" s="235"/>
      <c r="H91" s="132"/>
      <c r="I91" s="132"/>
      <c r="J91" s="132"/>
      <c r="K91" s="132"/>
      <c r="L91"/>
      <c r="M91"/>
      <c r="N91"/>
      <c r="O91"/>
      <c r="P91"/>
      <c r="Q91"/>
      <c r="R91"/>
      <c r="S91"/>
      <c r="T91"/>
      <c r="U91"/>
      <c r="V91"/>
      <c r="W91"/>
      <c r="X91"/>
    </row>
    <row r="92" spans="1:24" ht="12.75" customHeight="1">
      <c r="A92" s="139" t="s">
        <v>71</v>
      </c>
      <c r="B92" s="140"/>
      <c r="C92" s="141">
        <f>[2]!SummCompInstrPY</f>
        <v>0</v>
      </c>
      <c r="D92" s="115">
        <f>[1]!SummCompInstrBY</f>
        <v>0</v>
      </c>
      <c r="E92" s="142">
        <f t="shared" si="10"/>
        <v>0</v>
      </c>
      <c r="F92" s="274">
        <f t="shared" si="11"/>
        <v>0</v>
      </c>
      <c r="G92" s="275"/>
      <c r="H92" s="132"/>
      <c r="I92" s="132"/>
      <c r="J92" s="132"/>
      <c r="K92" s="132"/>
      <c r="L92"/>
      <c r="M92"/>
      <c r="N92"/>
      <c r="O92"/>
      <c r="P92"/>
      <c r="Q92"/>
      <c r="R92"/>
      <c r="S92"/>
      <c r="T92"/>
      <c r="U92"/>
      <c r="V92"/>
      <c r="W92"/>
      <c r="X92"/>
    </row>
    <row r="93" spans="1:24" ht="12.75" customHeight="1">
      <c r="A93" s="143" t="s">
        <v>72</v>
      </c>
      <c r="B93" s="144"/>
      <c r="C93" s="145">
        <f>[2]!SummCSFPY</f>
        <v>357097</v>
      </c>
      <c r="D93" s="145">
        <f>[1]!SummCSFBY</f>
        <v>475691</v>
      </c>
      <c r="E93" s="142">
        <f t="shared" si="10"/>
        <v>118594</v>
      </c>
      <c r="F93" s="274">
        <f t="shared" si="11"/>
        <v>0.33210584239016289</v>
      </c>
      <c r="G93" s="275"/>
      <c r="H93" s="132"/>
      <c r="I93" s="132"/>
      <c r="J93" s="132"/>
      <c r="K93" s="132"/>
      <c r="L93"/>
      <c r="M93"/>
      <c r="N93"/>
      <c r="O93"/>
      <c r="P93"/>
      <c r="Q93"/>
      <c r="R93"/>
      <c r="S93"/>
      <c r="T93"/>
      <c r="U93"/>
      <c r="V93"/>
      <c r="W93"/>
      <c r="X93"/>
    </row>
    <row r="94" spans="1:24" ht="12.75" customHeight="1">
      <c r="A94" s="146" t="s">
        <v>73</v>
      </c>
      <c r="B94" s="147"/>
      <c r="C94" s="110">
        <f>[2]!SummFedProjectsPY</f>
        <v>1422393</v>
      </c>
      <c r="D94" s="110">
        <f>[1]!SummFedProjectsBY</f>
        <v>662079</v>
      </c>
      <c r="E94" s="148">
        <f t="shared" si="10"/>
        <v>-760314</v>
      </c>
      <c r="F94" s="274">
        <f t="shared" si="11"/>
        <v>-0.53453159569823527</v>
      </c>
      <c r="G94" s="275"/>
      <c r="H94" s="132"/>
      <c r="I94" s="132"/>
      <c r="J94" s="132"/>
      <c r="K94" s="132"/>
      <c r="L94"/>
      <c r="M94"/>
      <c r="N94"/>
      <c r="O94"/>
      <c r="P94"/>
      <c r="Q94"/>
      <c r="R94"/>
      <c r="S94"/>
      <c r="T94"/>
      <c r="U94"/>
      <c r="V94"/>
      <c r="W94"/>
      <c r="X94"/>
    </row>
    <row r="95" spans="1:24" ht="12.75" customHeight="1">
      <c r="A95" s="149" t="s">
        <v>74</v>
      </c>
      <c r="B95" s="150"/>
      <c r="C95" s="109">
        <f>[2]!SummStateProjectsPY</f>
        <v>86007</v>
      </c>
      <c r="D95" s="109">
        <f>[1]!SummStateProjectsBY</f>
        <v>71145</v>
      </c>
      <c r="E95" s="111">
        <f t="shared" si="10"/>
        <v>-14862</v>
      </c>
      <c r="F95" s="274">
        <f t="shared" si="11"/>
        <v>-0.17279988838117827</v>
      </c>
      <c r="G95" s="275"/>
      <c r="H95" s="132"/>
      <c r="I95" s="132"/>
      <c r="J95" s="132"/>
      <c r="K95" s="132"/>
      <c r="L95"/>
      <c r="M95"/>
      <c r="N95"/>
      <c r="O95"/>
      <c r="P95"/>
      <c r="Q95"/>
      <c r="R95"/>
      <c r="S95"/>
      <c r="T95"/>
      <c r="U95"/>
      <c r="V95"/>
      <c r="W95"/>
      <c r="X95"/>
    </row>
    <row r="96" spans="1:24" ht="12.75" customHeight="1">
      <c r="A96" s="146" t="s">
        <v>75</v>
      </c>
      <c r="B96" s="147"/>
      <c r="C96" s="109">
        <f>[2]!SummUCOPY</f>
        <v>1382653</v>
      </c>
      <c r="D96" s="109">
        <f>[1]!SummUCOBY</f>
        <v>1698585</v>
      </c>
      <c r="E96" s="111">
        <f t="shared" si="10"/>
        <v>315932</v>
      </c>
      <c r="F96" s="274">
        <f t="shared" si="11"/>
        <v>0.22849695476739282</v>
      </c>
      <c r="G96" s="275"/>
      <c r="H96" s="28"/>
      <c r="I96" s="28"/>
      <c r="J96" s="28"/>
      <c r="K96" s="28"/>
      <c r="L96"/>
      <c r="M96"/>
      <c r="N96"/>
      <c r="O96"/>
      <c r="P96"/>
      <c r="Q96"/>
      <c r="R96"/>
      <c r="S96"/>
      <c r="T96"/>
      <c r="U96"/>
      <c r="V96"/>
      <c r="W96"/>
      <c r="X96"/>
    </row>
    <row r="97" spans="1:24" ht="12.75" customHeight="1">
      <c r="A97" s="146" t="s">
        <v>76</v>
      </c>
      <c r="B97" s="147"/>
      <c r="C97" s="109">
        <f>[2]!SummNSFPY</f>
        <v>0</v>
      </c>
      <c r="D97" s="109">
        <f>[1]!SummNSFBY</f>
        <v>0</v>
      </c>
      <c r="E97" s="111">
        <f t="shared" si="10"/>
        <v>0</v>
      </c>
      <c r="F97" s="274">
        <f t="shared" si="11"/>
        <v>0</v>
      </c>
      <c r="G97" s="275"/>
      <c r="H97" s="132"/>
      <c r="I97" s="132"/>
      <c r="J97" s="132"/>
      <c r="K97" s="132"/>
      <c r="L97"/>
      <c r="M97"/>
      <c r="N97"/>
      <c r="O97"/>
      <c r="P97"/>
      <c r="Q97"/>
      <c r="R97"/>
      <c r="S97"/>
      <c r="T97"/>
      <c r="U97"/>
      <c r="V97"/>
      <c r="W97"/>
      <c r="X97"/>
    </row>
    <row r="98" spans="1:24" ht="12.75" customHeight="1">
      <c r="A98" s="146" t="s">
        <v>77</v>
      </c>
      <c r="B98" s="147"/>
      <c r="C98" s="109">
        <f>[2]!SummAdjacentWaysPY</f>
        <v>0</v>
      </c>
      <c r="D98" s="109">
        <f>[1]!SummAdjacentWaysBY</f>
        <v>0</v>
      </c>
      <c r="E98" s="111">
        <f t="shared" si="10"/>
        <v>0</v>
      </c>
      <c r="F98" s="274">
        <f t="shared" si="11"/>
        <v>0</v>
      </c>
      <c r="G98" s="275"/>
      <c r="H98" s="132"/>
      <c r="I98" s="132"/>
      <c r="J98" s="132"/>
      <c r="K98" s="132"/>
      <c r="L98"/>
      <c r="M98"/>
      <c r="N98"/>
      <c r="O98"/>
      <c r="P98"/>
      <c r="Q98"/>
      <c r="R98"/>
      <c r="S98"/>
      <c r="T98"/>
      <c r="U98"/>
      <c r="V98"/>
      <c r="W98"/>
      <c r="X98"/>
    </row>
    <row r="99" spans="1:24" ht="12.75" customHeight="1">
      <c r="A99" s="146" t="s">
        <v>78</v>
      </c>
      <c r="B99" s="147"/>
      <c r="C99" s="109">
        <f>[2]!SummDebtServicePY</f>
        <v>0</v>
      </c>
      <c r="D99" s="109">
        <f>[1]!SumDebtServiceBY</f>
        <v>0</v>
      </c>
      <c r="E99" s="111">
        <f t="shared" si="10"/>
        <v>0</v>
      </c>
      <c r="F99" s="274">
        <f t="shared" si="11"/>
        <v>0</v>
      </c>
      <c r="G99" s="275"/>
      <c r="H99" s="132"/>
      <c r="I99" s="132"/>
      <c r="J99" s="132"/>
      <c r="K99" s="132"/>
      <c r="L99"/>
      <c r="M99"/>
      <c r="N99"/>
      <c r="O99"/>
      <c r="P99"/>
      <c r="Q99"/>
      <c r="R99"/>
      <c r="S99"/>
      <c r="T99"/>
      <c r="U99"/>
      <c r="V99"/>
      <c r="W99"/>
      <c r="X99"/>
    </row>
    <row r="100" spans="1:24" ht="12.75" customHeight="1">
      <c r="A100" s="151" t="s">
        <v>79</v>
      </c>
      <c r="B100" s="58"/>
      <c r="C100" s="115">
        <f>[2]!SummSchoolPlantPY</f>
        <v>0</v>
      </c>
      <c r="D100" s="109">
        <f>[1]!SummSchoolPlantBY</f>
        <v>0</v>
      </c>
      <c r="E100" s="111">
        <f t="shared" si="10"/>
        <v>0</v>
      </c>
      <c r="F100" s="274">
        <f t="shared" si="11"/>
        <v>0</v>
      </c>
      <c r="G100" s="275"/>
      <c r="H100" s="132"/>
      <c r="I100" s="132"/>
      <c r="J100" s="132"/>
      <c r="K100" s="132"/>
      <c r="L100"/>
      <c r="M100"/>
      <c r="N100"/>
      <c r="O100"/>
      <c r="P100"/>
      <c r="Q100"/>
      <c r="R100"/>
      <c r="S100"/>
      <c r="T100"/>
      <c r="U100"/>
      <c r="V100"/>
      <c r="W100"/>
      <c r="X100"/>
    </row>
    <row r="101" spans="1:24" ht="12.75" customHeight="1">
      <c r="A101" s="146" t="s">
        <v>80</v>
      </c>
      <c r="B101" s="147"/>
      <c r="C101" s="109">
        <f>[2]!SummAuxOpsPY</f>
        <v>0</v>
      </c>
      <c r="D101" s="109">
        <f>[1]!SummAuxOpsBY</f>
        <v>0</v>
      </c>
      <c r="E101" s="111">
        <f t="shared" si="10"/>
        <v>0</v>
      </c>
      <c r="F101" s="274">
        <f t="shared" si="11"/>
        <v>0</v>
      </c>
      <c r="G101" s="275"/>
      <c r="H101" s="132"/>
      <c r="I101" s="132"/>
      <c r="J101" s="132"/>
      <c r="K101" s="132"/>
      <c r="L101"/>
      <c r="M101"/>
      <c r="N101"/>
      <c r="O101"/>
      <c r="P101"/>
      <c r="Q101"/>
      <c r="R101"/>
      <c r="S101"/>
      <c r="T101"/>
      <c r="U101"/>
      <c r="V101"/>
      <c r="W101"/>
      <c r="X101"/>
    </row>
    <row r="102" spans="1:24" ht="12.75" customHeight="1">
      <c r="A102" s="146" t="s">
        <v>81</v>
      </c>
      <c r="B102" s="147"/>
      <c r="C102" s="109">
        <f>[2]!SummBondBuildingPY</f>
        <v>0</v>
      </c>
      <c r="D102" s="109">
        <f>[1]!SummBondBuildingBY</f>
        <v>0</v>
      </c>
      <c r="E102" s="111">
        <f t="shared" si="10"/>
        <v>0</v>
      </c>
      <c r="F102" s="274">
        <f t="shared" si="11"/>
        <v>0</v>
      </c>
      <c r="G102" s="275"/>
      <c r="H102" s="132"/>
      <c r="I102" s="132"/>
      <c r="J102" s="132"/>
      <c r="K102" s="132"/>
      <c r="L102"/>
      <c r="M102"/>
      <c r="N102"/>
      <c r="O102"/>
      <c r="P102"/>
      <c r="Q102"/>
      <c r="R102"/>
      <c r="S102"/>
      <c r="T102"/>
      <c r="U102"/>
      <c r="V102"/>
      <c r="W102"/>
      <c r="X102"/>
    </row>
    <row r="103" spans="1:24" ht="12.75" customHeight="1">
      <c r="A103" s="146" t="s">
        <v>82</v>
      </c>
      <c r="B103" s="147"/>
      <c r="C103" s="109">
        <f>[2]!SummFoodServicePY</f>
        <v>175000</v>
      </c>
      <c r="D103" s="109">
        <f>[1]!SummFoodServiceBY</f>
        <v>185000</v>
      </c>
      <c r="E103" s="111">
        <f t="shared" si="10"/>
        <v>10000</v>
      </c>
      <c r="F103" s="274">
        <f t="shared" si="11"/>
        <v>5.7142857142857141E-2</v>
      </c>
      <c r="G103" s="275"/>
      <c r="H103" s="132"/>
      <c r="I103" s="132"/>
      <c r="J103" s="132"/>
      <c r="K103" s="132"/>
      <c r="L103"/>
      <c r="M103"/>
      <c r="N103"/>
      <c r="O103"/>
      <c r="P103"/>
      <c r="Q103"/>
      <c r="R103"/>
      <c r="S103"/>
      <c r="T103"/>
      <c r="U103"/>
      <c r="V103"/>
      <c r="W103"/>
      <c r="X103"/>
    </row>
    <row r="104" spans="1:24" ht="12.75" customHeight="1">
      <c r="A104" s="152" t="s">
        <v>36</v>
      </c>
      <c r="B104" s="153"/>
      <c r="C104" s="115">
        <f>[2]!SummOtherPY</f>
        <v>139570</v>
      </c>
      <c r="D104" s="115">
        <f>[1]!SummOtherBY</f>
        <v>300750</v>
      </c>
      <c r="E104" s="114">
        <f t="shared" si="10"/>
        <v>161180</v>
      </c>
      <c r="F104" s="234">
        <f t="shared" si="11"/>
        <v>1.1548327004370567</v>
      </c>
      <c r="G104" s="235"/>
      <c r="H104" s="132"/>
      <c r="I104" s="132"/>
      <c r="J104" s="132"/>
      <c r="K104" s="132"/>
      <c r="L104"/>
      <c r="M104"/>
      <c r="N104"/>
      <c r="O104"/>
      <c r="P104"/>
      <c r="Q104"/>
      <c r="R104"/>
      <c r="S104"/>
      <c r="T104"/>
      <c r="U104"/>
      <c r="V104"/>
      <c r="W104"/>
      <c r="X104"/>
    </row>
    <row r="105" spans="1:24" ht="12" customHeight="1">
      <c r="A105" s="28"/>
      <c r="B105" s="28"/>
      <c r="C105" s="28"/>
      <c r="D105" s="28"/>
      <c r="E105" s="28"/>
      <c r="F105" s="28"/>
      <c r="G105" s="28"/>
      <c r="H105" s="28"/>
      <c r="I105" s="132"/>
      <c r="J105" s="132"/>
      <c r="K105" s="132"/>
      <c r="L105" s="132"/>
      <c r="M105" s="132"/>
      <c r="N105"/>
      <c r="O105"/>
      <c r="P105"/>
      <c r="Q105"/>
      <c r="R105"/>
      <c r="S105"/>
      <c r="T105"/>
      <c r="U105"/>
      <c r="V105"/>
      <c r="W105"/>
      <c r="X105"/>
    </row>
    <row r="106" spans="1:24" ht="13.5" customHeight="1">
      <c r="A106" s="310" t="s">
        <v>83</v>
      </c>
      <c r="B106" s="311"/>
      <c r="C106" s="311"/>
      <c r="D106" s="311"/>
      <c r="E106" s="312"/>
      <c r="F106"/>
      <c r="G106"/>
      <c r="H106"/>
      <c r="I106"/>
      <c r="J106"/>
      <c r="K106"/>
      <c r="L106"/>
      <c r="M106" s="132"/>
      <c r="N106"/>
      <c r="O106"/>
      <c r="P106"/>
      <c r="Q106"/>
      <c r="R106"/>
      <c r="S106"/>
      <c r="T106"/>
      <c r="U106"/>
      <c r="V106"/>
      <c r="W106"/>
      <c r="X106"/>
    </row>
    <row r="107" spans="1:24" ht="13.5" thickBot="1">
      <c r="A107" s="307" t="s">
        <v>85</v>
      </c>
      <c r="B107" s="308"/>
      <c r="C107" s="309"/>
      <c r="D107" s="135" t="s">
        <v>39</v>
      </c>
      <c r="E107" s="135" t="s">
        <v>31</v>
      </c>
      <c r="F107"/>
      <c r="G107"/>
      <c r="H107"/>
      <c r="I107"/>
      <c r="J107"/>
      <c r="K107"/>
      <c r="L107"/>
      <c r="M107"/>
      <c r="N107"/>
      <c r="O107"/>
      <c r="P107"/>
      <c r="Q107"/>
      <c r="R107"/>
      <c r="S107"/>
      <c r="T107"/>
      <c r="U107"/>
      <c r="V107"/>
      <c r="W107"/>
      <c r="X107"/>
    </row>
    <row r="108" spans="1:24">
      <c r="A108" s="53" t="s">
        <v>86</v>
      </c>
      <c r="B108" s="154"/>
      <c r="C108" s="155"/>
      <c r="D108" s="156">
        <f>[1]!SummAllDisabilityPY</f>
        <v>533182</v>
      </c>
      <c r="E108" s="156">
        <f>[1]!SummAllDisabilityBY</f>
        <v>529470</v>
      </c>
      <c r="F108"/>
      <c r="G108"/>
      <c r="H108"/>
      <c r="I108"/>
      <c r="J108"/>
      <c r="K108"/>
      <c r="L108"/>
      <c r="M108"/>
      <c r="N108"/>
      <c r="O108"/>
      <c r="P108"/>
      <c r="Q108"/>
      <c r="R108"/>
      <c r="S108"/>
      <c r="T108"/>
      <c r="U108"/>
      <c r="V108"/>
      <c r="W108"/>
      <c r="X108"/>
    </row>
    <row r="109" spans="1:24">
      <c r="A109" s="146" t="s">
        <v>88</v>
      </c>
      <c r="B109" s="157"/>
      <c r="C109" s="123"/>
      <c r="D109" s="113">
        <f>[1]!SummGiftedPY</f>
        <v>0</v>
      </c>
      <c r="E109" s="113">
        <f>[1]!SummGiftedBY</f>
        <v>0</v>
      </c>
      <c r="F109"/>
      <c r="G109"/>
      <c r="H109"/>
      <c r="I109"/>
      <c r="J109"/>
      <c r="K109"/>
      <c r="L109"/>
      <c r="M109"/>
      <c r="N109"/>
      <c r="O109"/>
      <c r="P109"/>
      <c r="Q109"/>
      <c r="R109"/>
      <c r="S109"/>
      <c r="T109"/>
      <c r="U109"/>
      <c r="V109"/>
      <c r="W109"/>
      <c r="X109"/>
    </row>
    <row r="110" spans="1:24">
      <c r="A110" s="146" t="s">
        <v>90</v>
      </c>
      <c r="B110" s="157"/>
      <c r="C110" s="123"/>
      <c r="D110" s="113">
        <f>[1]!SummRemedialPY</f>
        <v>0</v>
      </c>
      <c r="E110" s="113">
        <f>[1]!SummRemedialBY</f>
        <v>0</v>
      </c>
      <c r="F110"/>
      <c r="G110"/>
      <c r="H110"/>
      <c r="I110"/>
      <c r="J110"/>
      <c r="K110"/>
      <c r="L110"/>
      <c r="M110"/>
      <c r="N110"/>
      <c r="O110"/>
      <c r="P110"/>
      <c r="Q110"/>
      <c r="R110"/>
      <c r="S110"/>
      <c r="T110"/>
      <c r="U110"/>
      <c r="V110"/>
      <c r="W110"/>
      <c r="X110"/>
    </row>
    <row r="111" spans="1:24">
      <c r="A111" s="158" t="s">
        <v>92</v>
      </c>
      <c r="B111" s="140"/>
      <c r="C111" s="123"/>
      <c r="D111" s="113">
        <f>[1]!SummELLIncrementalPY</f>
        <v>0</v>
      </c>
      <c r="E111" s="113">
        <f>[1]!SummELLIncrementalBY</f>
        <v>0</v>
      </c>
      <c r="F111"/>
      <c r="G111"/>
      <c r="H111"/>
      <c r="I111"/>
      <c r="J111"/>
      <c r="K111"/>
      <c r="L111"/>
      <c r="M111"/>
      <c r="N111"/>
      <c r="O111"/>
      <c r="P111"/>
      <c r="Q111"/>
      <c r="R111"/>
      <c r="S111"/>
      <c r="T111"/>
      <c r="U111"/>
      <c r="V111"/>
      <c r="W111"/>
      <c r="X111"/>
    </row>
    <row r="112" spans="1:24">
      <c r="A112" s="158" t="s">
        <v>93</v>
      </c>
      <c r="B112" s="140"/>
      <c r="C112" s="123"/>
      <c r="D112" s="113">
        <f>[1]!SPEDELLCompInstrCurrFY</f>
        <v>0</v>
      </c>
      <c r="E112" s="113">
        <f>[1]!SummELLCompInstBY</f>
        <v>0</v>
      </c>
      <c r="F112"/>
      <c r="G112"/>
      <c r="H112"/>
      <c r="I112"/>
      <c r="J112"/>
      <c r="K112"/>
      <c r="L112"/>
      <c r="M112"/>
      <c r="N112"/>
      <c r="O112"/>
      <c r="P112"/>
      <c r="Q112"/>
      <c r="R112"/>
      <c r="S112"/>
      <c r="T112"/>
      <c r="U112"/>
      <c r="V112"/>
      <c r="W112"/>
      <c r="X112"/>
    </row>
    <row r="113" spans="1:24">
      <c r="A113" s="146" t="s">
        <v>119</v>
      </c>
      <c r="B113" s="157"/>
      <c r="C113" s="123"/>
      <c r="D113" s="113">
        <f>[1]!SummVocandTechEdPY</f>
        <v>0</v>
      </c>
      <c r="E113" s="113">
        <f>[1]!SummVocandTechEdBY</f>
        <v>0</v>
      </c>
      <c r="F113"/>
      <c r="G113"/>
      <c r="H113"/>
      <c r="I113"/>
      <c r="J113"/>
      <c r="K113"/>
      <c r="L113"/>
      <c r="M113"/>
      <c r="N113"/>
      <c r="O113"/>
      <c r="P113"/>
      <c r="Q113"/>
      <c r="R113"/>
      <c r="S113"/>
      <c r="T113"/>
      <c r="U113"/>
      <c r="V113"/>
      <c r="W113"/>
      <c r="X113"/>
    </row>
    <row r="114" spans="1:24">
      <c r="A114" s="146" t="s">
        <v>121</v>
      </c>
      <c r="B114" s="157"/>
      <c r="C114" s="123"/>
      <c r="D114" s="115">
        <f>[1]!SummCareerEdPY</f>
        <v>0</v>
      </c>
      <c r="E114" s="115">
        <f>[1]!SummCareerEdBY</f>
        <v>0</v>
      </c>
      <c r="F114"/>
      <c r="G114"/>
      <c r="H114"/>
      <c r="I114"/>
      <c r="J114"/>
      <c r="K114"/>
      <c r="L114"/>
      <c r="M114"/>
      <c r="N114"/>
      <c r="O114"/>
      <c r="P114"/>
      <c r="Q114"/>
      <c r="R114"/>
      <c r="S114"/>
      <c r="T114"/>
      <c r="U114"/>
      <c r="V114"/>
      <c r="W114"/>
      <c r="X114"/>
    </row>
    <row r="115" spans="1:24" ht="13.5" thickBot="1">
      <c r="A115" s="158" t="s">
        <v>120</v>
      </c>
      <c r="B115" s="140"/>
      <c r="C115" s="123"/>
      <c r="D115" s="159">
        <f>[1]!SummCTEDPY</f>
        <v>0</v>
      </c>
      <c r="E115" s="159">
        <f>[1]!SummCTEDBY</f>
        <v>0</v>
      </c>
      <c r="F115"/>
      <c r="G115"/>
      <c r="H115"/>
      <c r="I115"/>
      <c r="J115"/>
      <c r="K115"/>
      <c r="L115"/>
      <c r="M115"/>
      <c r="N115"/>
      <c r="O115"/>
      <c r="P115"/>
      <c r="Q115"/>
      <c r="R115"/>
      <c r="S115"/>
      <c r="T115"/>
      <c r="U115"/>
      <c r="V115"/>
      <c r="W115"/>
      <c r="X115"/>
    </row>
    <row r="116" spans="1:24" ht="13.5" thickBot="1">
      <c r="A116" s="160" t="s">
        <v>96</v>
      </c>
      <c r="B116" s="161"/>
      <c r="C116" s="162"/>
      <c r="D116" s="163">
        <f>[1]!SummSpecEdTotalPY</f>
        <v>533182</v>
      </c>
      <c r="E116" s="163">
        <f>[1]!SummSpecEdTotalBY</f>
        <v>529470</v>
      </c>
      <c r="F116"/>
      <c r="G116"/>
      <c r="H116"/>
      <c r="I116"/>
      <c r="J116"/>
      <c r="K116"/>
      <c r="L116"/>
      <c r="M116"/>
      <c r="N116"/>
      <c r="O116"/>
      <c r="P116"/>
      <c r="Q116"/>
      <c r="R116"/>
      <c r="S116"/>
      <c r="T116"/>
      <c r="U116"/>
      <c r="V116"/>
      <c r="W116"/>
      <c r="X116"/>
    </row>
    <row r="117" spans="1:24" ht="12" customHeight="1" thickTop="1">
      <c r="A117" s="21"/>
      <c r="B117" s="21"/>
      <c r="C117" s="21"/>
      <c r="D117" s="21"/>
      <c r="E117" s="128"/>
      <c r="F117"/>
      <c r="G117"/>
      <c r="H117"/>
      <c r="I117"/>
      <c r="J117"/>
      <c r="K117"/>
      <c r="L117"/>
      <c r="M117"/>
      <c r="N117"/>
      <c r="O117"/>
      <c r="P117"/>
      <c r="Q117"/>
      <c r="R117"/>
      <c r="S117"/>
      <c r="T117"/>
      <c r="U117"/>
      <c r="V117"/>
      <c r="W117"/>
      <c r="X117"/>
    </row>
    <row r="118" spans="1:24">
      <c r="A118" s="302" t="s">
        <v>84</v>
      </c>
      <c r="B118" s="303"/>
      <c r="C118" s="303"/>
      <c r="D118" s="303"/>
      <c r="E118" s="303"/>
      <c r="F118" s="303"/>
      <c r="G118" s="303"/>
      <c r="H118" s="303"/>
      <c r="I118" s="304"/>
      <c r="J118"/>
      <c r="K118"/>
      <c r="L118"/>
      <c r="M118"/>
      <c r="N118"/>
      <c r="O118"/>
      <c r="P118"/>
      <c r="Q118"/>
      <c r="R118"/>
      <c r="S118"/>
      <c r="T118"/>
      <c r="U118"/>
      <c r="V118"/>
      <c r="W118"/>
      <c r="X118"/>
    </row>
    <row r="119" spans="1:24" ht="42.75">
      <c r="A119" s="306" t="s">
        <v>87</v>
      </c>
      <c r="B119" s="306"/>
      <c r="C119" s="306"/>
      <c r="D119" s="164" t="s">
        <v>130</v>
      </c>
      <c r="E119" s="165" t="s">
        <v>123</v>
      </c>
      <c r="F119" s="305" t="s">
        <v>124</v>
      </c>
      <c r="G119" s="305"/>
      <c r="H119" s="306" t="s">
        <v>122</v>
      </c>
      <c r="I119" s="306"/>
      <c r="J119"/>
      <c r="K119"/>
      <c r="L119"/>
      <c r="M119"/>
      <c r="N119"/>
      <c r="O119"/>
      <c r="P119"/>
      <c r="Q119"/>
      <c r="R119"/>
      <c r="S119"/>
      <c r="T119"/>
      <c r="U119"/>
      <c r="V119"/>
      <c r="W119"/>
      <c r="X119"/>
    </row>
    <row r="120" spans="1:24">
      <c r="A120" s="146" t="s">
        <v>89</v>
      </c>
      <c r="C120" s="157"/>
      <c r="D120"/>
      <c r="E120"/>
      <c r="F120"/>
      <c r="G120" s="29"/>
      <c r="H120" s="166"/>
      <c r="I120" s="167"/>
      <c r="J120"/>
      <c r="K120"/>
      <c r="L120"/>
      <c r="M120"/>
      <c r="N120"/>
      <c r="O120"/>
      <c r="P120"/>
      <c r="Q120"/>
      <c r="R120"/>
      <c r="S120"/>
      <c r="T120"/>
      <c r="U120"/>
      <c r="V120"/>
      <c r="W120"/>
      <c r="X120"/>
    </row>
    <row r="121" spans="1:24">
      <c r="A121" s="146" t="s">
        <v>125</v>
      </c>
      <c r="C121" s="28"/>
      <c r="D121" s="168">
        <f>[1]!ContractFTEAdmin</f>
        <v>0</v>
      </c>
      <c r="E121" s="168">
        <f>[1]!EmployeeFTEAdmin</f>
        <v>3</v>
      </c>
      <c r="F121" s="301">
        <f>[1]!TotalFTEAdmin</f>
        <v>3</v>
      </c>
      <c r="G121" s="301"/>
      <c r="H121" s="169" t="s">
        <v>91</v>
      </c>
      <c r="I121" s="170">
        <f>[1]!RatioAdmin</f>
        <v>67.400000000000006</v>
      </c>
      <c r="J121"/>
      <c r="K121"/>
      <c r="L121"/>
      <c r="M121"/>
      <c r="N121"/>
      <c r="O121"/>
      <c r="P121"/>
      <c r="Q121"/>
      <c r="R121"/>
      <c r="S121"/>
      <c r="T121"/>
      <c r="U121"/>
      <c r="V121"/>
      <c r="W121"/>
      <c r="X121"/>
    </row>
    <row r="122" spans="1:24">
      <c r="A122" s="146" t="s">
        <v>94</v>
      </c>
      <c r="C122" s="28"/>
      <c r="D122" s="168">
        <f>[1]!ContractFTETeachers</f>
        <v>0</v>
      </c>
      <c r="E122" s="168">
        <f>[1]!EmployeeFTETeachers</f>
        <v>20</v>
      </c>
      <c r="F122" s="301">
        <f>[1]!TotalFTETeachers</f>
        <v>20</v>
      </c>
      <c r="G122" s="301"/>
      <c r="H122" s="171" t="s">
        <v>91</v>
      </c>
      <c r="I122" s="170">
        <f>[1]!RatioTeachers</f>
        <v>10.1</v>
      </c>
      <c r="J122"/>
      <c r="K122"/>
      <c r="L122"/>
      <c r="M122"/>
      <c r="N122"/>
      <c r="O122"/>
      <c r="P122"/>
      <c r="Q122"/>
      <c r="R122"/>
      <c r="S122"/>
      <c r="T122"/>
      <c r="U122"/>
      <c r="V122"/>
      <c r="W122"/>
      <c r="X122"/>
    </row>
    <row r="123" spans="1:24">
      <c r="A123" s="146" t="s">
        <v>36</v>
      </c>
      <c r="C123" s="28"/>
      <c r="D123" s="168">
        <f>[1]!ContractFTECertOther</f>
        <v>0</v>
      </c>
      <c r="E123" s="168">
        <f>[1]!EmployeeFTECertOther</f>
        <v>3</v>
      </c>
      <c r="F123" s="301">
        <f>[1]!TotalFTECertOther</f>
        <v>3</v>
      </c>
      <c r="G123" s="301"/>
      <c r="H123" s="171" t="s">
        <v>91</v>
      </c>
      <c r="I123" s="170">
        <f>[1]!RatioCertOther</f>
        <v>67.400000000000006</v>
      </c>
      <c r="J123"/>
      <c r="K123"/>
      <c r="L123"/>
      <c r="M123"/>
      <c r="N123"/>
      <c r="O123"/>
      <c r="P123"/>
      <c r="Q123"/>
      <c r="R123"/>
      <c r="S123"/>
      <c r="T123"/>
      <c r="U123"/>
      <c r="V123"/>
      <c r="W123"/>
      <c r="X123"/>
    </row>
    <row r="124" spans="1:24">
      <c r="A124" s="172" t="s">
        <v>128</v>
      </c>
      <c r="D124" s="168">
        <f>[1]!ContractFTECertSubtotal</f>
        <v>0</v>
      </c>
      <c r="E124" s="168">
        <f>[1]!EmployeeFTECertSubtotal</f>
        <v>26</v>
      </c>
      <c r="F124" s="301">
        <f>[1]!TotalFTECertSubtotal</f>
        <v>26</v>
      </c>
      <c r="G124" s="301"/>
      <c r="H124" s="171" t="s">
        <v>91</v>
      </c>
      <c r="I124" s="170">
        <f>[1]!RatioCertSubtotal</f>
        <v>7.8</v>
      </c>
      <c r="J124"/>
      <c r="K124"/>
      <c r="L124"/>
      <c r="M124"/>
      <c r="N124"/>
      <c r="O124"/>
      <c r="P124"/>
      <c r="Q124"/>
      <c r="R124"/>
      <c r="S124"/>
      <c r="T124"/>
      <c r="U124"/>
      <c r="V124"/>
      <c r="W124"/>
      <c r="X124"/>
    </row>
    <row r="125" spans="1:24">
      <c r="A125" s="146" t="s">
        <v>95</v>
      </c>
      <c r="C125" s="157"/>
      <c r="D125" s="58"/>
      <c r="E125" s="58"/>
      <c r="F125" s="299"/>
      <c r="G125" s="299"/>
      <c r="H125" s="173"/>
      <c r="I125" s="170"/>
      <c r="J125"/>
      <c r="K125"/>
      <c r="L125"/>
      <c r="M125"/>
      <c r="N125"/>
      <c r="O125"/>
      <c r="P125"/>
      <c r="Q125"/>
      <c r="R125"/>
      <c r="S125"/>
      <c r="T125"/>
      <c r="U125"/>
      <c r="V125"/>
      <c r="W125"/>
      <c r="X125"/>
    </row>
    <row r="126" spans="1:24">
      <c r="A126" s="146" t="s">
        <v>97</v>
      </c>
      <c r="C126" s="28"/>
      <c r="D126" s="168">
        <f>[1]!ContractFTEManagers</f>
        <v>0</v>
      </c>
      <c r="E126" s="168">
        <f>[1]!EmployeeFTEManagers</f>
        <v>5</v>
      </c>
      <c r="F126" s="301">
        <f>[1]!TotalFTEManagers</f>
        <v>5</v>
      </c>
      <c r="G126" s="301"/>
      <c r="H126" s="174" t="s">
        <v>91</v>
      </c>
      <c r="I126" s="170">
        <f>[1]!RatioManagers</f>
        <v>40.4</v>
      </c>
      <c r="J126"/>
      <c r="K126"/>
      <c r="L126"/>
      <c r="M126"/>
      <c r="N126"/>
      <c r="O126"/>
      <c r="P126"/>
      <c r="Q126"/>
      <c r="R126"/>
      <c r="S126"/>
      <c r="T126"/>
      <c r="U126"/>
      <c r="V126"/>
      <c r="W126"/>
      <c r="X126"/>
    </row>
    <row r="127" spans="1:24">
      <c r="A127" s="146" t="s">
        <v>98</v>
      </c>
      <c r="C127" s="28"/>
      <c r="D127" s="168">
        <f>[1]!ContractFTETeachersAids</f>
        <v>1</v>
      </c>
      <c r="E127" s="168">
        <f>[1]!EmployeeFTETeachersAides</f>
        <v>9</v>
      </c>
      <c r="F127" s="301">
        <f>[1]!TotalFTETeachersAides</f>
        <v>10</v>
      </c>
      <c r="G127" s="301"/>
      <c r="H127" s="171" t="s">
        <v>91</v>
      </c>
      <c r="I127" s="170">
        <f>[1]!RatioTeachersAides</f>
        <v>20.2</v>
      </c>
      <c r="J127"/>
      <c r="K127"/>
      <c r="L127"/>
      <c r="M127"/>
      <c r="N127"/>
      <c r="O127"/>
      <c r="P127"/>
      <c r="Q127"/>
      <c r="R127"/>
      <c r="S127"/>
      <c r="T127"/>
      <c r="U127"/>
      <c r="V127"/>
      <c r="W127"/>
      <c r="X127"/>
    </row>
    <row r="128" spans="1:24">
      <c r="A128" s="146" t="s">
        <v>36</v>
      </c>
      <c r="C128" s="28"/>
      <c r="D128" s="168">
        <f>[1]!ContractFTEClassOther</f>
        <v>0</v>
      </c>
      <c r="E128" s="168">
        <f>[1]!EmployeeFTEClassOther</f>
        <v>28</v>
      </c>
      <c r="F128" s="301">
        <f>[1]!TotalFTEClassOther</f>
        <v>28</v>
      </c>
      <c r="G128" s="301"/>
      <c r="H128" s="171" t="s">
        <v>91</v>
      </c>
      <c r="I128" s="170">
        <f>[1]!RatioClassOther</f>
        <v>7.2</v>
      </c>
      <c r="J128"/>
      <c r="K128"/>
      <c r="L128"/>
      <c r="M128"/>
      <c r="N128"/>
      <c r="O128"/>
      <c r="P128"/>
      <c r="Q128"/>
      <c r="R128"/>
      <c r="S128"/>
      <c r="T128"/>
      <c r="U128"/>
      <c r="V128"/>
      <c r="W128"/>
      <c r="X128"/>
    </row>
    <row r="129" spans="1:24">
      <c r="A129" s="172" t="s">
        <v>128</v>
      </c>
      <c r="D129" s="168">
        <f>[1]!ContractFTEClassSubtotal</f>
        <v>1</v>
      </c>
      <c r="E129" s="168">
        <f>[1]!EmployeeFTEClassSubtotal</f>
        <v>42</v>
      </c>
      <c r="F129" s="301">
        <f>[1]!TotalFTEClassSubtotal</f>
        <v>43</v>
      </c>
      <c r="G129" s="301"/>
      <c r="H129" s="171" t="s">
        <v>91</v>
      </c>
      <c r="I129" s="170">
        <f>[1]!RatioClassSubtotal</f>
        <v>4.7</v>
      </c>
      <c r="J129"/>
      <c r="K129"/>
      <c r="L129"/>
      <c r="M129"/>
      <c r="N129"/>
      <c r="O129"/>
      <c r="P129"/>
      <c r="Q129"/>
      <c r="R129"/>
      <c r="S129"/>
      <c r="T129"/>
      <c r="U129"/>
      <c r="V129"/>
      <c r="W129"/>
      <c r="X129"/>
    </row>
    <row r="130" spans="1:24">
      <c r="A130" s="172" t="s">
        <v>129</v>
      </c>
      <c r="D130" s="168">
        <f>[1]!ContractFTETotal</f>
        <v>1</v>
      </c>
      <c r="E130" s="168">
        <f>[1]!EmployeeFTETotal</f>
        <v>68</v>
      </c>
      <c r="F130" s="301">
        <f>[1]!TotalFTETotal</f>
        <v>69</v>
      </c>
      <c r="G130" s="301"/>
      <c r="H130" s="171" t="s">
        <v>91</v>
      </c>
      <c r="I130" s="170">
        <f>[1]!RatioTotal</f>
        <v>2.9</v>
      </c>
      <c r="J130"/>
      <c r="K130"/>
      <c r="L130"/>
      <c r="M130"/>
      <c r="N130"/>
      <c r="O130"/>
      <c r="P130"/>
      <c r="Q130"/>
      <c r="R130"/>
      <c r="S130"/>
      <c r="T130"/>
      <c r="U130"/>
      <c r="V130"/>
      <c r="W130"/>
      <c r="X130"/>
    </row>
    <row r="131" spans="1:24">
      <c r="A131" s="172"/>
      <c r="C131" s="173"/>
      <c r="D131" s="58"/>
      <c r="E131" s="58"/>
      <c r="F131" s="299"/>
      <c r="G131" s="299"/>
      <c r="H131" s="175"/>
      <c r="I131" s="176"/>
      <c r="J131"/>
      <c r="K131"/>
      <c r="L131"/>
      <c r="M131"/>
      <c r="N131"/>
      <c r="O131"/>
      <c r="P131"/>
      <c r="Q131"/>
      <c r="R131"/>
      <c r="S131"/>
      <c r="T131"/>
      <c r="U131"/>
      <c r="V131"/>
      <c r="W131"/>
      <c r="X131"/>
    </row>
    <row r="132" spans="1:24">
      <c r="A132" s="172" t="s">
        <v>99</v>
      </c>
      <c r="C132" s="173"/>
      <c r="D132" s="58"/>
      <c r="E132" s="58"/>
      <c r="F132" s="299"/>
      <c r="G132" s="299"/>
      <c r="H132" s="175"/>
      <c r="I132" s="177"/>
      <c r="J132"/>
      <c r="K132"/>
      <c r="L132"/>
      <c r="M132"/>
      <c r="N132"/>
      <c r="O132"/>
      <c r="P132"/>
      <c r="Q132"/>
      <c r="R132"/>
      <c r="S132"/>
      <c r="T132"/>
      <c r="U132"/>
      <c r="V132"/>
      <c r="W132"/>
      <c r="X132"/>
    </row>
    <row r="133" spans="1:24">
      <c r="A133" s="172" t="s">
        <v>100</v>
      </c>
      <c r="C133" s="157"/>
      <c r="D133" s="178">
        <f>[1]!ContractFTESpecEdTeacher</f>
        <v>0</v>
      </c>
      <c r="E133" s="178">
        <f>[1]!EmployeeFTESpecEdTeacher</f>
        <v>1</v>
      </c>
      <c r="F133" s="300">
        <f>[1]!TotalFTESpecEdTeacher</f>
        <v>1</v>
      </c>
      <c r="G133" s="300"/>
      <c r="H133" s="179" t="s">
        <v>101</v>
      </c>
      <c r="I133" s="180">
        <f>[1]!SPEDTeacher</f>
        <v>10</v>
      </c>
      <c r="J133"/>
      <c r="K133"/>
      <c r="L133"/>
      <c r="M133"/>
      <c r="N133"/>
      <c r="O133"/>
      <c r="P133"/>
      <c r="Q133"/>
      <c r="R133"/>
      <c r="S133"/>
      <c r="T133"/>
      <c r="U133"/>
      <c r="V133"/>
      <c r="W133"/>
      <c r="X133"/>
    </row>
    <row r="134" spans="1:24">
      <c r="A134" s="181" t="s">
        <v>102</v>
      </c>
      <c r="B134" s="80"/>
      <c r="C134" s="182"/>
      <c r="D134" s="178">
        <f>[1]!ContractFTESpecEdStaff</f>
        <v>0</v>
      </c>
      <c r="E134" s="178">
        <f>[1]!EmployeeFTESpecEdStaff</f>
        <v>0</v>
      </c>
      <c r="F134" s="300">
        <f>[1]!TotalFTESpecEdStaff</f>
        <v>0</v>
      </c>
      <c r="G134" s="300"/>
      <c r="H134" s="179" t="s">
        <v>101</v>
      </c>
      <c r="I134" s="183">
        <f>[1]!SPEDStaff</f>
        <v>10</v>
      </c>
      <c r="J134"/>
      <c r="K134"/>
      <c r="L134"/>
      <c r="M134"/>
      <c r="N134"/>
      <c r="O134"/>
      <c r="P134"/>
      <c r="Q134"/>
      <c r="R134"/>
      <c r="S134"/>
      <c r="T134"/>
      <c r="U134"/>
      <c r="V134"/>
      <c r="W134"/>
      <c r="X134"/>
    </row>
  </sheetData>
  <sheetProtection sheet="1" formatCells="0" formatColumns="0" formatRows="0"/>
  <mergeCells count="161">
    <mergeCell ref="F131:G131"/>
    <mergeCell ref="F132:G132"/>
    <mergeCell ref="F133:G133"/>
    <mergeCell ref="F134:G134"/>
    <mergeCell ref="F125:G125"/>
    <mergeCell ref="F126:G126"/>
    <mergeCell ref="F127:G127"/>
    <mergeCell ref="F99:G99"/>
    <mergeCell ref="F128:G128"/>
    <mergeCell ref="F129:G129"/>
    <mergeCell ref="F130:G130"/>
    <mergeCell ref="A118:I118"/>
    <mergeCell ref="F119:G119"/>
    <mergeCell ref="F121:G121"/>
    <mergeCell ref="F122:G122"/>
    <mergeCell ref="F123:G123"/>
    <mergeCell ref="F124:G124"/>
    <mergeCell ref="H119:I119"/>
    <mergeCell ref="A119:C119"/>
    <mergeCell ref="F100:G100"/>
    <mergeCell ref="A107:C107"/>
    <mergeCell ref="A106:E106"/>
    <mergeCell ref="K77:L77"/>
    <mergeCell ref="F96:G96"/>
    <mergeCell ref="F97:G97"/>
    <mergeCell ref="F87:G87"/>
    <mergeCell ref="F88:G88"/>
    <mergeCell ref="F89:G89"/>
    <mergeCell ref="F90:G90"/>
    <mergeCell ref="F94:G94"/>
    <mergeCell ref="F95:G95"/>
    <mergeCell ref="F80:G80"/>
    <mergeCell ref="F81:G81"/>
    <mergeCell ref="F70:G70"/>
    <mergeCell ref="F71:G71"/>
    <mergeCell ref="F72:G72"/>
    <mergeCell ref="F73:G73"/>
    <mergeCell ref="F77:G77"/>
    <mergeCell ref="F104:G104"/>
    <mergeCell ref="K71:L71"/>
    <mergeCell ref="F93:G93"/>
    <mergeCell ref="F101:G101"/>
    <mergeCell ref="F102:G102"/>
    <mergeCell ref="F103:G103"/>
    <mergeCell ref="K70:L70"/>
    <mergeCell ref="F92:G92"/>
    <mergeCell ref="F74:G74"/>
    <mergeCell ref="F75:G75"/>
    <mergeCell ref="F86:G86"/>
    <mergeCell ref="K80:L80"/>
    <mergeCell ref="K81:L81"/>
    <mergeCell ref="F76:G76"/>
    <mergeCell ref="K73:L73"/>
    <mergeCell ref="K72:L72"/>
    <mergeCell ref="K74:L74"/>
    <mergeCell ref="K75:L75"/>
    <mergeCell ref="K76:L76"/>
    <mergeCell ref="D78:D79"/>
    <mergeCell ref="E78:E79"/>
    <mergeCell ref="F98:G98"/>
    <mergeCell ref="K78:L79"/>
    <mergeCell ref="I78:I79"/>
    <mergeCell ref="K33:L33"/>
    <mergeCell ref="E25:G25"/>
    <mergeCell ref="K60:L60"/>
    <mergeCell ref="F58:G58"/>
    <mergeCell ref="F59:G59"/>
    <mergeCell ref="F60:G60"/>
    <mergeCell ref="K59:L59"/>
    <mergeCell ref="K48:L48"/>
    <mergeCell ref="K49:L49"/>
    <mergeCell ref="K50:L50"/>
    <mergeCell ref="K51:L51"/>
    <mergeCell ref="K52:L53"/>
    <mergeCell ref="K54:L55"/>
    <mergeCell ref="F50:G50"/>
    <mergeCell ref="F51:G51"/>
    <mergeCell ref="K56:L56"/>
    <mergeCell ref="K57:L57"/>
    <mergeCell ref="K58:L58"/>
    <mergeCell ref="K61:L61"/>
    <mergeCell ref="K69:L69"/>
    <mergeCell ref="F69:G69"/>
    <mergeCell ref="F65:G66"/>
    <mergeCell ref="F67:G68"/>
    <mergeCell ref="F61:G61"/>
    <mergeCell ref="F62:G62"/>
    <mergeCell ref="F63:G63"/>
    <mergeCell ref="K63:L63"/>
    <mergeCell ref="K64:L64"/>
    <mergeCell ref="F64:G64"/>
    <mergeCell ref="J67:J68"/>
    <mergeCell ref="H65:H66"/>
    <mergeCell ref="I65:I66"/>
    <mergeCell ref="J65:J66"/>
    <mergeCell ref="F52:G53"/>
    <mergeCell ref="F54:G55"/>
    <mergeCell ref="D34:D36"/>
    <mergeCell ref="J78:J79"/>
    <mergeCell ref="A84:G84"/>
    <mergeCell ref="F85:G85"/>
    <mergeCell ref="F91:G91"/>
    <mergeCell ref="D45:L46"/>
    <mergeCell ref="D52:D53"/>
    <mergeCell ref="E52:E53"/>
    <mergeCell ref="H52:H53"/>
    <mergeCell ref="I52:I53"/>
    <mergeCell ref="J52:J53"/>
    <mergeCell ref="F78:G79"/>
    <mergeCell ref="H78:H79"/>
    <mergeCell ref="A34:C36"/>
    <mergeCell ref="E34:E36"/>
    <mergeCell ref="D37:D39"/>
    <mergeCell ref="E37:E39"/>
    <mergeCell ref="A37:C39"/>
    <mergeCell ref="F35:L44"/>
    <mergeCell ref="K62:L62"/>
    <mergeCell ref="K65:L66"/>
    <mergeCell ref="K67:L68"/>
    <mergeCell ref="D54:D55"/>
    <mergeCell ref="E54:E55"/>
    <mergeCell ref="H54:H55"/>
    <mergeCell ref="I54:I55"/>
    <mergeCell ref="J54:J55"/>
    <mergeCell ref="D65:D66"/>
    <mergeCell ref="E65:E66"/>
    <mergeCell ref="D67:D68"/>
    <mergeCell ref="E67:E68"/>
    <mergeCell ref="H67:H68"/>
    <mergeCell ref="I67:I68"/>
    <mergeCell ref="F56:G56"/>
    <mergeCell ref="F57:G57"/>
    <mergeCell ref="A3:L3"/>
    <mergeCell ref="H25:J25"/>
    <mergeCell ref="E26:H26"/>
    <mergeCell ref="A16:L16"/>
    <mergeCell ref="A18:F18"/>
    <mergeCell ref="A19:L19"/>
    <mergeCell ref="A21:H21"/>
    <mergeCell ref="C9:D9"/>
    <mergeCell ref="C10:D10"/>
    <mergeCell ref="C8:I8"/>
    <mergeCell ref="C5:D5"/>
    <mergeCell ref="I5:J5"/>
    <mergeCell ref="A7:L7"/>
    <mergeCell ref="F9:I9"/>
    <mergeCell ref="F23:G23"/>
    <mergeCell ref="I14:J14"/>
    <mergeCell ref="A31:A32"/>
    <mergeCell ref="A12:L12"/>
    <mergeCell ref="C13:D13"/>
    <mergeCell ref="I13:J13"/>
    <mergeCell ref="B23:D23"/>
    <mergeCell ref="B25:D25"/>
    <mergeCell ref="K21:L21"/>
    <mergeCell ref="K22:L22"/>
    <mergeCell ref="E27:H27"/>
    <mergeCell ref="K30:L30"/>
    <mergeCell ref="K31:L31"/>
    <mergeCell ref="K32:L32"/>
    <mergeCell ref="C14:D14"/>
  </mergeCells>
  <dataValidations xWindow="730" yWindow="350" count="2">
    <dataValidation type="decimal" operator="greaterThanOrEqual" allowBlank="1" showInputMessage="1" showErrorMessage="1" errorTitle="Error" error="Value must be a number." sqref="C32:E32">
      <formula1>0</formula1>
    </dataValidation>
    <dataValidation operator="notEqual" allowBlank="1" showInputMessage="1" showErrorMessage="1" promptTitle="Time" prompt="Please enter time including AM/PM" sqref="H5:I5"/>
  </dataValidations>
  <hyperlinks>
    <hyperlink ref="A29" r:id="rId1" display="1.  Student Count"/>
    <hyperlink ref="C14" r:id="rId2"/>
  </hyperlinks>
  <printOptions horizontalCentered="1"/>
  <pageMargins left="0.25" right="0.25" top="0.25" bottom="0.25" header="0.5" footer="0.25"/>
  <pageSetup scale="88" fitToHeight="0" orientation="portrait" r:id="rId3"/>
  <headerFooter alignWithMargins="0">
    <oddFooter>&amp;L&amp;"Times New Roman,Bold"&amp;9Rev. 5/23 Arizona Department of Education and Auditor General&amp;R&amp;"Times New Roman,Bold"&amp;9Page &amp;P of &amp;N</oddFooter>
  </headerFooter>
  <rowBreaks count="2" manualBreakCount="2">
    <brk id="19" max="16383" man="1"/>
    <brk id="82" max="11"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p:properties xmlns:p="http://schemas.microsoft.com/office/2006/metadata/properties" xmlns:xsi="http://www.w3.org/2001/XMLSchema-instance">
  <documentManagement>
    <lcf76f155ced4ddcb4097134ff3c332f xmlns="30e8ffde-18ad-4221-a68d-976eb256fe4f">
      <Terms xmlns="http://schemas.microsoft.com/office/infopath/2007/PartnerControls"/>
    </lcf76f155ced4ddcb4097134ff3c332f>
    <TaxCatchAll xmlns="ffcdc2e4-c8f2-4bf7-ab1d-ea300bde3fd8"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740A7E3807644E4DA70E0D6B717B683A" ma:contentTypeVersion="10" ma:contentTypeDescription="Create a new document." ma:contentTypeScope="" ma:versionID="0071ca5f4b6ee98f77bc82b2910829c3">
  <xsd:schema xmlns:xsd="http://www.w3.org/2001/XMLSchema" xmlns:xs="http://www.w3.org/2001/XMLSchema" xmlns:p="http://schemas.microsoft.com/office/2006/metadata/properties" xmlns:ns2="30e8ffde-18ad-4221-a68d-976eb256fe4f" xmlns:ns3="ffcdc2e4-c8f2-4bf7-ab1d-ea300bde3fd8" targetNamespace="http://schemas.microsoft.com/office/2006/metadata/properties" ma:root="true" ma:fieldsID="c062b0eec728b62cb4e942213e7d5b77" ns2:_="" ns3:_="">
    <xsd:import namespace="30e8ffde-18ad-4221-a68d-976eb256fe4f"/>
    <xsd:import namespace="ffcdc2e4-c8f2-4bf7-ab1d-ea300bde3fd8"/>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0e8ffde-18ad-4221-a68d-976eb256fe4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lcf76f155ced4ddcb4097134ff3c332f" ma:index="16" nillable="true" ma:taxonomy="true" ma:internalName="lcf76f155ced4ddcb4097134ff3c332f" ma:taxonomyFieldName="MediaServiceImageTags" ma:displayName="Image Tags" ma:readOnly="false" ma:fieldId="{5cf76f15-5ced-4ddc-b409-7134ff3c332f}" ma:taxonomyMulti="true" ma:sspId="74c78d70-57a5-4cd0-992a-8b96d5ad9078"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ffcdc2e4-c8f2-4bf7-ab1d-ea300bde3fd8" elementFormDefault="qualified">
    <xsd:import namespace="http://schemas.microsoft.com/office/2006/documentManagement/types"/>
    <xsd:import namespace="http://schemas.microsoft.com/office/infopath/2007/PartnerControls"/>
    <xsd:element name="TaxCatchAll" ma:index="17" nillable="true" ma:displayName="Taxonomy Catch All Column" ma:hidden="true" ma:list="{ed5af9a2-5c05-48d1-8193-28164417b14f}" ma:internalName="TaxCatchAll" ma:showField="CatchAllData" ma:web="ffcdc2e4-c8f2-4bf7-ab1d-ea300bde3fd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documentManagement>
    <lcf76f155ced4ddcb4097134ff3c332f xmlns="30e8ffde-18ad-4221-a68d-976eb256fe4f">
      <Terms xmlns="http://schemas.microsoft.com/office/infopath/2007/PartnerControls"/>
    </lcf76f155ced4ddcb4097134ff3c332f>
    <TaxCatchAll xmlns="ffcdc2e4-c8f2-4bf7-ab1d-ea300bde3fd8" xsi:nil="true"/>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740A7E3807644E4DA70E0D6B717B683A" ma:contentTypeVersion="10" ma:contentTypeDescription="Create a new document." ma:contentTypeScope="" ma:versionID="0071ca5f4b6ee98f77bc82b2910829c3">
  <xsd:schema xmlns:xsd="http://www.w3.org/2001/XMLSchema" xmlns:xs="http://www.w3.org/2001/XMLSchema" xmlns:p="http://schemas.microsoft.com/office/2006/metadata/properties" xmlns:ns2="30e8ffde-18ad-4221-a68d-976eb256fe4f" xmlns:ns3="ffcdc2e4-c8f2-4bf7-ab1d-ea300bde3fd8" targetNamespace="http://schemas.microsoft.com/office/2006/metadata/properties" ma:root="true" ma:fieldsID="c062b0eec728b62cb4e942213e7d5b77" ns2:_="" ns3:_="">
    <xsd:import namespace="30e8ffde-18ad-4221-a68d-976eb256fe4f"/>
    <xsd:import namespace="ffcdc2e4-c8f2-4bf7-ab1d-ea300bde3fd8"/>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0e8ffde-18ad-4221-a68d-976eb256fe4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lcf76f155ced4ddcb4097134ff3c332f" ma:index="16" nillable="true" ma:taxonomy="true" ma:internalName="lcf76f155ced4ddcb4097134ff3c332f" ma:taxonomyFieldName="MediaServiceImageTags" ma:displayName="Image Tags" ma:readOnly="false" ma:fieldId="{5cf76f15-5ced-4ddc-b409-7134ff3c332f}" ma:taxonomyMulti="true" ma:sspId="74c78d70-57a5-4cd0-992a-8b96d5ad9078"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ffcdc2e4-c8f2-4bf7-ab1d-ea300bde3fd8" elementFormDefault="qualified">
    <xsd:import namespace="http://schemas.microsoft.com/office/2006/documentManagement/types"/>
    <xsd:import namespace="http://schemas.microsoft.com/office/infopath/2007/PartnerControls"/>
    <xsd:element name="TaxCatchAll" ma:index="17" nillable="true" ma:displayName="Taxonomy Catch All Column" ma:hidden="true" ma:list="{ed5af9a2-5c05-48d1-8193-28164417b14f}" ma:internalName="TaxCatchAll" ma:showField="CatchAllData" ma:web="ffcdc2e4-c8f2-4bf7-ab1d-ea300bde3fd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FormTemplates xmlns="http://schemas.microsoft.com/sharepoint/v3/contenttype/forms">
  <Display>DocumentLibraryForm</Display>
  <Edit>DocumentLibraryForm</Edit>
  <New>DocumentLibraryForm</New>
</FormTemplates>
</file>

<file path=customXml/item6.xml><?xml version="1.0" encoding="utf-8"?>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BB4F38B-0799-4886-B61C-8DBB46B47F73}">
  <ds:schemaRefs>
    <ds:schemaRef ds:uri="http://schemas.microsoft.com/office/2006/metadata/properties"/>
    <ds:schemaRef ds:uri="http://purl.org/dc/dcmitype/"/>
    <ds:schemaRef ds:uri="http://purl.org/dc/terms/"/>
    <ds:schemaRef ds:uri="30e8ffde-18ad-4221-a68d-976eb256fe4f"/>
    <ds:schemaRef ds:uri="http://schemas.microsoft.com/office/infopath/2007/PartnerControls"/>
    <ds:schemaRef ds:uri="http://schemas.microsoft.com/office/2006/documentManagement/types"/>
    <ds:schemaRef ds:uri="http://purl.org/dc/elements/1.1/"/>
    <ds:schemaRef ds:uri="http://schemas.openxmlformats.org/package/2006/metadata/core-properties"/>
    <ds:schemaRef ds:uri="ffcdc2e4-c8f2-4bf7-ab1d-ea300bde3fd8"/>
    <ds:schemaRef ds:uri="http://www.w3.org/XML/1998/namespace"/>
  </ds:schemaRefs>
</ds:datastoreItem>
</file>

<file path=customXml/itemProps2.xml><?xml version="1.0" encoding="utf-8"?>
<ds:datastoreItem xmlns:ds="http://schemas.openxmlformats.org/officeDocument/2006/customXml" ds:itemID="{1F056FD1-B5D1-4DDB-B5BC-4D9A2289609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0e8ffde-18ad-4221-a68d-976eb256fe4f"/>
    <ds:schemaRef ds:uri="ffcdc2e4-c8f2-4bf7-ab1d-ea300bde3fd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BB4F38B-0799-4886-B61C-8DBB46B47F73}">
  <ds:schemaRefs>
    <ds:schemaRef ds:uri="http://schemas.microsoft.com/office/2006/documentManagement/types"/>
    <ds:schemaRef ds:uri="http://schemas.openxmlformats.org/package/2006/metadata/core-properties"/>
    <ds:schemaRef ds:uri="http://schemas.microsoft.com/office/infopath/2007/PartnerControls"/>
    <ds:schemaRef ds:uri="http://www.w3.org/XML/1998/namespace"/>
    <ds:schemaRef ds:uri="http://purl.org/dc/terms/"/>
    <ds:schemaRef ds:uri="http://purl.org/dc/elements/1.1/"/>
    <ds:schemaRef ds:uri="30e8ffde-18ad-4221-a68d-976eb256fe4f"/>
    <ds:schemaRef ds:uri="ffcdc2e4-c8f2-4bf7-ab1d-ea300bde3fd8"/>
    <ds:schemaRef ds:uri="http://schemas.microsoft.com/office/2006/metadata/properties"/>
    <ds:schemaRef ds:uri="http://purl.org/dc/dcmitype/"/>
  </ds:schemaRefs>
</ds:datastoreItem>
</file>

<file path=customXml/itemProps4.xml><?xml version="1.0" encoding="utf-8"?>
<ds:datastoreItem xmlns:ds="http://schemas.openxmlformats.org/officeDocument/2006/customXml" ds:itemID="{1F056FD1-B5D1-4DDB-B5BC-4D9A2289609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0e8ffde-18ad-4221-a68d-976eb256fe4f"/>
    <ds:schemaRef ds:uri="ffcdc2e4-c8f2-4bf7-ab1d-ea300bde3fd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3847F8EF-8AAF-48C9-9DFE-A66AC49D528B}">
  <ds:schemaRefs>
    <ds:schemaRef ds:uri="http://schemas.microsoft.com/sharepoint/v3/contenttype/forms"/>
  </ds:schemaRefs>
</ds:datastoreItem>
</file>

<file path=customXml/itemProps6.xml><?xml version="1.0" encoding="utf-8"?>
<ds:datastoreItem xmlns:ds="http://schemas.openxmlformats.org/officeDocument/2006/customXml" ds:itemID="{3847F8EF-8AAF-48C9-9DFE-A66AC49D528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Worksheets</vt:lpstr>
      </vt:variant>
      <vt:variant>
        <vt:i4>1</vt:i4>
      </vt:variant>
      <vt:variant>
        <vt:lpstr>Named Ranges</vt:lpstr>
      </vt:variant>
      <vt:variant>
        <vt:i4>5</vt:i4>
      </vt:variant>
    </vt:vector>
  </HeadingPairs>
  <TitlesOfParts>
    <vt:vector size="6" baseType="lpstr">
      <vt:lpstr>Notice</vt:lpstr>
      <vt:lpstr>BudgetYearADM</vt:lpstr>
      <vt:lpstr>Notice!Print_Area</vt:lpstr>
      <vt:lpstr>PriorYearADM</vt:lpstr>
      <vt:lpstr>SPEDStaff</vt:lpstr>
      <vt:lpstr>SPEDTeacher</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Budget Meeting Notification</dc:title>
  <dc:subject/>
  <dc:creator>AZ Department of Education</dc:creator>
  <cp:keywords/>
  <dc:description/>
  <cp:lastModifiedBy>Tonya Taylor</cp:lastModifiedBy>
  <cp:lastPrinted>2023-04-10T09:13:23Z</cp:lastPrinted>
  <dcterms:created xsi:type="dcterms:W3CDTF">2006-05-15T03:29:21Z</dcterms:created>
  <dcterms:modified xsi:type="dcterms:W3CDTF">2023-06-08T18:51:18Z</dcterms:modified>
  <cp:category/>
  <cp:contentStatus/>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FiscalYear">
    <vt:lpwstr>2024</vt:lpwstr>
  </property>
  <property fmtid="{D5CDD505-2E9C-101B-9397-08002B2CF9AE}" pid="3" name="BudgetTypeID">
    <vt:lpwstr>35</vt:lpwstr>
  </property>
  <property fmtid="{D5CDD505-2E9C-101B-9397-08002B2CF9AE}" pid="4" name="SchoolbySchool">
    <vt:lpwstr>0</vt:lpwstr>
  </property>
  <property fmtid="{D5CDD505-2E9C-101B-9397-08002B2CF9AE}" pid="5" name="Password">
    <vt:lpwstr>Diamondbacks15</vt:lpwstr>
  </property>
  <property fmtid="{D5CDD505-2E9C-101B-9397-08002B2CF9AE}" pid="6" name="ADEGUID">
    <vt:lpwstr>7f6690fe-7dcf-44fc-9a27-7b55bddcbb81</vt:lpwstr>
  </property>
  <property fmtid="{D5CDD505-2E9C-101B-9397-08002B2CF9AE}" pid="7" name="ContentTypeId">
    <vt:lpwstr>0x010100740A7E3807644E4DA70E0D6B717B683A</vt:lpwstr>
  </property>
  <property fmtid="{D5CDD505-2E9C-101B-9397-08002B2CF9AE}" pid="8" name="MediaServiceImageTags">
    <vt:lpwstr/>
  </property>
</Properties>
</file>